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9720" windowHeight="6015" tabRatio="598" firstSheet="8" activeTab="12"/>
  </bookViews>
  <sheets>
    <sheet name="Entrate" sheetId="1" r:id="rId1"/>
    <sheet name="Entrate in Previsione" sheetId="2" r:id="rId2"/>
    <sheet name="GIORNALE DELLE ENTRATE" sheetId="3" r:id="rId3"/>
    <sheet name="PARTITARIO DELLE ENTRATE" sheetId="4" r:id="rId4"/>
    <sheet name="accertamenti" sheetId="5" r:id="rId5"/>
    <sheet name="variazioni di bilancio" sheetId="6" r:id="rId6"/>
    <sheet name="Spese " sheetId="7" r:id="rId7"/>
    <sheet name="Spese in previsione" sheetId="8" r:id="rId8"/>
    <sheet name="GIORNALE DELLE SPESE" sheetId="9" r:id="rId9"/>
    <sheet name="PARTITARIO SPESE" sheetId="10" r:id="rId10"/>
    <sheet name="IMPEGNI" sheetId="11" r:id="rId11"/>
    <sheet name="Dimostrazione avanzo" sheetId="12" r:id="rId12"/>
    <sheet name="situazione progetti" sheetId="13" r:id="rId13"/>
    <sheet name="MATRICE di controllo" sheetId="14" r:id="rId14"/>
  </sheets>
  <definedNames>
    <definedName name="_xlnm.Print_Area" localSheetId="0">'Entrate'!$A$1:$M$58</definedName>
    <definedName name="_xlnm.Print_Area" localSheetId="2">'GIORNALE DELLE ENTRATE'!$A$1:$I$2</definedName>
    <definedName name="_xlnm.Print_Area" localSheetId="8">'GIORNALE DELLE SPESE'!$A$1:$I$2</definedName>
    <definedName name="_xlnm.Print_Area" localSheetId="6">'Spese '!$A$1:$M$82</definedName>
    <definedName name="_xlnm.Print_Area" localSheetId="5">'variazioni di bilancio'!$C$1:$G$1</definedName>
    <definedName name="_xlnm.Print_Titles" localSheetId="0">'Entrate'!$1:$4</definedName>
    <definedName name="_xlnm.Print_Titles" localSheetId="2">'GIORNALE DELLE ENTRATE'!$2:$2</definedName>
    <definedName name="_xlnm.Print_Titles" localSheetId="6">'Spese '!$1:$5</definedName>
  </definedNames>
  <calcPr fullCalcOnLoad="1"/>
</workbook>
</file>

<file path=xl/sharedStrings.xml><?xml version="1.0" encoding="utf-8"?>
<sst xmlns="http://schemas.openxmlformats.org/spreadsheetml/2006/main" count="3926" uniqueCount="831">
  <si>
    <t>Ritenute erariali</t>
  </si>
  <si>
    <t>Depositi cauzionali</t>
  </si>
  <si>
    <t>Trasferimenti per investimenti da Unione Europea</t>
  </si>
  <si>
    <t>Altri proventi</t>
  </si>
  <si>
    <t>Avanzo di amministrazione</t>
  </si>
  <si>
    <t>Disavanzo di amministrazione</t>
  </si>
  <si>
    <t>VARIAZIONI in + o in -</t>
  </si>
  <si>
    <t>DENOMINAZIONE</t>
  </si>
  <si>
    <t>CHIAVE CAPITOLO</t>
  </si>
  <si>
    <t>F.E.</t>
  </si>
  <si>
    <t>ENTRATE</t>
  </si>
  <si>
    <t>F.E.0</t>
  </si>
  <si>
    <t>F.E.1</t>
  </si>
  <si>
    <t>F.E.1.01.01</t>
  </si>
  <si>
    <t>F.E.1.01.02</t>
  </si>
  <si>
    <t>F.E.1.01.03</t>
  </si>
  <si>
    <t>F.E.1.01.04</t>
  </si>
  <si>
    <t>F.E.1.01.05</t>
  </si>
  <si>
    <t>F.E.1.02</t>
  </si>
  <si>
    <t>F.E.1.01</t>
  </si>
  <si>
    <t>F.E.1.02.01</t>
  </si>
  <si>
    <t>F.E.1.02.02</t>
  </si>
  <si>
    <t>F.E.1.03</t>
  </si>
  <si>
    <t>F.E.1.03.01</t>
  </si>
  <si>
    <t>F.E.1.03.02</t>
  </si>
  <si>
    <t>F.E.1.04</t>
  </si>
  <si>
    <t>F.E.1.04.01</t>
  </si>
  <si>
    <t>F.E.1.04.02</t>
  </si>
  <si>
    <t>F.E.2</t>
  </si>
  <si>
    <t>F.E.2.05</t>
  </si>
  <si>
    <t>F.E.2.05.01</t>
  </si>
  <si>
    <t>F.E.2.05.02</t>
  </si>
  <si>
    <t>F.E.2.05.03</t>
  </si>
  <si>
    <t>F.E.2.05.04</t>
  </si>
  <si>
    <t>F.E.2.05.05</t>
  </si>
  <si>
    <t>F.E.2.06</t>
  </si>
  <si>
    <t>F.E.2.06.02</t>
  </si>
  <si>
    <t>F.E.2.06.03</t>
  </si>
  <si>
    <t>F.E.2.06.04</t>
  </si>
  <si>
    <t>F.E.2.06.05</t>
  </si>
  <si>
    <t>F.E.3</t>
  </si>
  <si>
    <t>F.E.3.08.01</t>
  </si>
  <si>
    <t>Trasferimenti per investimenti da altri Enti pubblici</t>
  </si>
  <si>
    <t>PARTITE DI GIRO</t>
  </si>
  <si>
    <t>Ritenute previdenziali</t>
  </si>
  <si>
    <t>TOTALE GENERALE ENTRATE</t>
  </si>
  <si>
    <t>F.S.</t>
  </si>
  <si>
    <t>SPESE</t>
  </si>
  <si>
    <t>F.S.1</t>
  </si>
  <si>
    <t>F.S.1.01.01</t>
  </si>
  <si>
    <t>F.S.1.01.02</t>
  </si>
  <si>
    <t>F.S.1.02</t>
  </si>
  <si>
    <t>F.S.1.02.01</t>
  </si>
  <si>
    <t>F.S.1.02.02</t>
  </si>
  <si>
    <t>F.S.1.02.03</t>
  </si>
  <si>
    <t>F.S.1.03</t>
  </si>
  <si>
    <t>F.S.1.03.01</t>
  </si>
  <si>
    <t>F.S.1.03.02</t>
  </si>
  <si>
    <t>F.S.1.03.03</t>
  </si>
  <si>
    <t>F.S.1.04</t>
  </si>
  <si>
    <t>F.S.1.04.01</t>
  </si>
  <si>
    <t>F.S.2</t>
  </si>
  <si>
    <t>F.S.3</t>
  </si>
  <si>
    <t>F.S.0</t>
  </si>
  <si>
    <t>F.S.1.01</t>
  </si>
  <si>
    <t>F.S.1.03.04</t>
  </si>
  <si>
    <t>F.S.1.03.05</t>
  </si>
  <si>
    <t>F.S.1.03.06</t>
  </si>
  <si>
    <t>SPESE PER ATTIVITA' ISTITUZIONALI</t>
  </si>
  <si>
    <t>Materiale di consumo</t>
  </si>
  <si>
    <t>Spese di rappresentanza</t>
  </si>
  <si>
    <t>Spese postali</t>
  </si>
  <si>
    <t>Spese telefoniche</t>
  </si>
  <si>
    <t>Assicurazioni</t>
  </si>
  <si>
    <t>Noleggio attrezzature, fotocopiatrici, veicoli</t>
  </si>
  <si>
    <t>F.S.2.08</t>
  </si>
  <si>
    <t>F.S.2.08.01</t>
  </si>
  <si>
    <t>F.S.2.08.02</t>
  </si>
  <si>
    <t>F.S.3.09.01</t>
  </si>
  <si>
    <t>F.S.3.09.02</t>
  </si>
  <si>
    <t>ONERI FINANZIARI</t>
  </si>
  <si>
    <t>ONERI TRIBUTARI</t>
  </si>
  <si>
    <t>SPESE NON CLASSIFICABILI IN ALTRE VOCI</t>
  </si>
  <si>
    <t>TRASFERIMENTI CORRENTI</t>
  </si>
  <si>
    <t>SPESE IN CONTO CAPITALE</t>
  </si>
  <si>
    <t>TOTALE GENERALE SPESE</t>
  </si>
  <si>
    <t>ENTRATE CORRENTI</t>
  </si>
  <si>
    <t>Contributi dallo Stato</t>
  </si>
  <si>
    <t xml:space="preserve"> </t>
  </si>
  <si>
    <t>Contributi da altri Enti pubblici</t>
  </si>
  <si>
    <t>Contributi da Privati</t>
  </si>
  <si>
    <t>Contributi da Unione Europea</t>
  </si>
  <si>
    <t>TOTALE ENTRATE CORRENTI</t>
  </si>
  <si>
    <t>Altre vendite di beni e servizi</t>
  </si>
  <si>
    <t>VENDITA BENI E SERVIZI</t>
  </si>
  <si>
    <t>TOTALE VENDITA BENI E SERVIZI</t>
  </si>
  <si>
    <t>RENDITE E PROVENTI PATRIMONIALI</t>
  </si>
  <si>
    <t>Interessi attivi sui depositi</t>
  </si>
  <si>
    <t>TOTALE RENDITE E PROVENTI PATRIMONIALI</t>
  </si>
  <si>
    <t>ALTRE ENTRATE</t>
  </si>
  <si>
    <t>Rimborsi IVA</t>
  </si>
  <si>
    <t>Recuperi e rimborsi</t>
  </si>
  <si>
    <t>TOTALE ALTRE ENTRATE</t>
  </si>
  <si>
    <t>ENTRATE IN CONTO CAPITALE</t>
  </si>
  <si>
    <t>TRASFERIMENTI PER INVESTIMENTI</t>
  </si>
  <si>
    <t>TOTALE TRASFERIMENTI PER INVESTIMENTI</t>
  </si>
  <si>
    <t>TRASFERIMENTI PER RICERCA SCIENTIFICA</t>
  </si>
  <si>
    <t>F.E.2.06.01</t>
  </si>
  <si>
    <t>TOTALE TRASFERIMENTI PER RICERCA SCIENTIFICA</t>
  </si>
  <si>
    <t>ENTRATE PER ALIENAZIONE DI BENI PATRIMONIALI</t>
  </si>
  <si>
    <t>F.E.2.07.01</t>
  </si>
  <si>
    <t>F.E.2.07.02</t>
  </si>
  <si>
    <t>Realizzo di valori mobiliari</t>
  </si>
  <si>
    <t>Vendita di titoli pubblici</t>
  </si>
  <si>
    <t>TOTALE ENTRATE PER ALIENAZIONE DI BENI PATRIMONIALI</t>
  </si>
  <si>
    <t>F.E.3.08.02</t>
  </si>
  <si>
    <t>F.E.3.08.03</t>
  </si>
  <si>
    <t>F.E.3.08.04</t>
  </si>
  <si>
    <t>F.E.3.08.05</t>
  </si>
  <si>
    <t>TOTALE ENTRATE IN CONTO CAPITALE</t>
  </si>
  <si>
    <t>TOTALE PARTITE DI GIRO</t>
  </si>
  <si>
    <t>SPESE CORRENTI</t>
  </si>
  <si>
    <t>SPESE PER IL FUNZIONAMENTO ORGANI</t>
  </si>
  <si>
    <t>TOTALE SPESE PER IL FUNZIONAMENTO ORGANI</t>
  </si>
  <si>
    <t>Spese funzionamento Organi amministrativi</t>
  </si>
  <si>
    <t>Indennità di missione e rimborsi spese</t>
  </si>
  <si>
    <t>Spese consulenze tecniche e amministrative</t>
  </si>
  <si>
    <t>Organizzazione e programmazione attività culturali, congressi, eventi</t>
  </si>
  <si>
    <t>Assegni di ricerca e borse di studio</t>
  </si>
  <si>
    <t>SPESE PER ACQUISTO DI BENI E SERVIZI</t>
  </si>
  <si>
    <t>Acquisto libri e riviste (non invent.)</t>
  </si>
  <si>
    <t>F.S.1.03.07</t>
  </si>
  <si>
    <t>F.S.1.03.08</t>
  </si>
  <si>
    <t>F.S.1.03.09</t>
  </si>
  <si>
    <t>F.S.1.03.10</t>
  </si>
  <si>
    <t>F.S.1.03.11</t>
  </si>
  <si>
    <t>F.S.1.03.12</t>
  </si>
  <si>
    <t>TOTALE SPESE PER ACQUISTO DI BENI E SERVIZI</t>
  </si>
  <si>
    <t>Interessi passivi</t>
  </si>
  <si>
    <t>TOTALE ONERI FINANZIARI</t>
  </si>
  <si>
    <t>F.S.1.05</t>
  </si>
  <si>
    <t>F.S.1.05.01</t>
  </si>
  <si>
    <t>Imposte, tasse e tributi vari</t>
  </si>
  <si>
    <t>Versamenti I.V.A.</t>
  </si>
  <si>
    <t>F.S.1.06</t>
  </si>
  <si>
    <t>TOTALE ONERI TRIBUTARI</t>
  </si>
  <si>
    <t>POSTE CORRETTIVE DI ENTRATE CORRENTI</t>
  </si>
  <si>
    <t>F.S.1.06.01</t>
  </si>
  <si>
    <t>TOTALE POSTE CORRETTIVE DI ENTRATE CORRENTI</t>
  </si>
  <si>
    <t>F.S.1.07</t>
  </si>
  <si>
    <t>Oneri straordinari</t>
  </si>
  <si>
    <t>Fondo di Riserva</t>
  </si>
  <si>
    <t>F.S.1.07.01</t>
  </si>
  <si>
    <t>F.S.1.07.02</t>
  </si>
  <si>
    <t>TOTALE SPESE NON CLASSIFICABILI IN ALTRE VOCI</t>
  </si>
  <si>
    <t>TOTALE SPESE CORRENTI</t>
  </si>
  <si>
    <t>TOTALE TRASFERIMENTI CORRENTI</t>
  </si>
  <si>
    <t>Manutenzioni e riparazioni</t>
  </si>
  <si>
    <t>Acquisto e gestione software</t>
  </si>
  <si>
    <t>Spese amministrative generali</t>
  </si>
  <si>
    <t>ACQUISTO DI BENI DUREVOLI</t>
  </si>
  <si>
    <t>F.S.2.08.03</t>
  </si>
  <si>
    <t>F.S.2.08.04</t>
  </si>
  <si>
    <t>Acquisto attrezzature scientifiche</t>
  </si>
  <si>
    <t>Acquisto mobili, arredi e macchine da ufficio</t>
  </si>
  <si>
    <t>Manutenzione straordinaria</t>
  </si>
  <si>
    <t>Investimenti finanziari</t>
  </si>
  <si>
    <t>TOTALE ACQUISTO DI BENI DUREVOLI</t>
  </si>
  <si>
    <t>TOTALE SPESE IN CONTO CAPITALE</t>
  </si>
  <si>
    <t>SPESE AVENTI NATURA DI PARTITE DI GIRO</t>
  </si>
  <si>
    <t>F.S.3.09.03</t>
  </si>
  <si>
    <t>Ritenute extra-erariali</t>
  </si>
  <si>
    <t>Fondo economale</t>
  </si>
  <si>
    <t>F.S.3.09.04</t>
  </si>
  <si>
    <t>F.S.3.09.05</t>
  </si>
  <si>
    <t>TOTALE SPESE AVENTI NATURA DI PARTITE DI GIRO</t>
  </si>
  <si>
    <t>Contributi da altri Enti di ricerca</t>
  </si>
  <si>
    <t>Trasferimenti per investimenti dallo Stato</t>
  </si>
  <si>
    <t>Trasferimenti per investimenti da Privati</t>
  </si>
  <si>
    <t>Trasferimenti per investimenti da altri Enti di Ricerca</t>
  </si>
  <si>
    <t>Trasferimenti per ricerca dallo Stato</t>
  </si>
  <si>
    <t>Trasferimenti per ricerca da altri Enti pubblici</t>
  </si>
  <si>
    <t>Trasferimenti per ricerca da Privati</t>
  </si>
  <si>
    <t>Trasferimenti per ricerca da Unione Europea</t>
  </si>
  <si>
    <t>Trasferimenti per ricerca da altri Enti di Ricerca</t>
  </si>
  <si>
    <t>TOTALE SPESE PER ATTIVITA' ISTITUZIONALI</t>
  </si>
  <si>
    <t>Fitti locali e spese condominiali</t>
  </si>
  <si>
    <t>Spese di trasporto, facchinaggio, smaltimento rifiuti</t>
  </si>
  <si>
    <t>Recuperi e rimborsi diversi</t>
  </si>
  <si>
    <t>Prestazioni a pagamento</t>
  </si>
  <si>
    <t>F.E.1.02.03</t>
  </si>
  <si>
    <t>Contratti e Convenzioni</t>
  </si>
  <si>
    <t>CONSORZIO INTERUNIVERSITARIO PER L'OTTIMIZZAZIONE E LA RICERCA OPERATIVA</t>
  </si>
  <si>
    <t>F.S.4</t>
  </si>
  <si>
    <t>F.S.4.09</t>
  </si>
  <si>
    <t>F.S 3.08.01</t>
  </si>
  <si>
    <t>F.S 3.08</t>
  </si>
  <si>
    <t>TOTALE TRASFERIMENTI</t>
  </si>
  <si>
    <t>TRASFERIMENTI</t>
  </si>
  <si>
    <t>TRASFERIMENTI VS CONSORZIATI</t>
  </si>
  <si>
    <t>Trasferimento vs enti consorziati</t>
  </si>
  <si>
    <t>F.E.1.01.06</t>
  </si>
  <si>
    <t>Contributi da Consorziati</t>
  </si>
  <si>
    <t>F.S.1.08</t>
  </si>
  <si>
    <t>SPESE PER ATTIVITA' IN CONTO TERZI</t>
  </si>
  <si>
    <t>F.S.1.08.01</t>
  </si>
  <si>
    <t>Prestazioni  di servizi</t>
  </si>
  <si>
    <t>F.S.1.08.02</t>
  </si>
  <si>
    <t>Contratti e convenzioni</t>
  </si>
  <si>
    <t>TOTALE SPESE PER ATTIVITA' IN CONTO TERZI</t>
  </si>
  <si>
    <t>Ragione sociale beneficiario</t>
  </si>
  <si>
    <t>Importo</t>
  </si>
  <si>
    <t>Capitolo</t>
  </si>
  <si>
    <t>Descrizione Capitolo</t>
  </si>
  <si>
    <t>Descizione</t>
  </si>
  <si>
    <t>Unicredit</t>
  </si>
  <si>
    <t>F.S.1,01,02</t>
  </si>
  <si>
    <t>Aruba s.p.A.</t>
  </si>
  <si>
    <t>F.S.1,02,01</t>
  </si>
  <si>
    <t>Camera di commercio di Bologna</t>
  </si>
  <si>
    <t>Ragione sociale versante</t>
  </si>
  <si>
    <t>F.S.1.05.02</t>
  </si>
  <si>
    <t>Compenso ai revisori dei conti</t>
  </si>
  <si>
    <t>F.S.1,01,01</t>
  </si>
  <si>
    <t>Compenso segretaria amministrativa</t>
  </si>
  <si>
    <t>Compenso commercialista</t>
  </si>
  <si>
    <t>Missioni del Direttore per il consorzio in genere</t>
  </si>
  <si>
    <t>Organizzazione eventi</t>
  </si>
  <si>
    <t>Grazia Cattani</t>
  </si>
  <si>
    <t>Diversi</t>
  </si>
  <si>
    <t>F.S.1,02,02</t>
  </si>
  <si>
    <t>Organizzazione e programmazione attività culturali, congressi, event</t>
  </si>
  <si>
    <t>FS.1.04.02</t>
  </si>
  <si>
    <t>Commissioni bancarie</t>
  </si>
  <si>
    <t>Riscossioni totali</t>
  </si>
  <si>
    <t>Pagamenti totali</t>
  </si>
  <si>
    <t>Crediti</t>
  </si>
  <si>
    <t>(residui attivi)</t>
  </si>
  <si>
    <t>Debiti</t>
  </si>
  <si>
    <t>(residui passivi)</t>
  </si>
  <si>
    <t>F.S.1,03,02</t>
  </si>
  <si>
    <t>F.S.2.09</t>
  </si>
  <si>
    <t>SPESE PER RICERCA SCIENTIFICA</t>
  </si>
  <si>
    <t>F.S.2.09.01</t>
  </si>
  <si>
    <t>Spese per ricerca dallo Stato</t>
  </si>
  <si>
    <t>F.S.2.09.02</t>
  </si>
  <si>
    <t>Spese per ricerca da altri Enti pubblici</t>
  </si>
  <si>
    <t>F.S.2.09.03</t>
  </si>
  <si>
    <t>Spese per ricerca da Privati</t>
  </si>
  <si>
    <t>F.S.2.09.04</t>
  </si>
  <si>
    <t>Spese per ricerca da Unione Europea</t>
  </si>
  <si>
    <t>F.S.2.09.05</t>
  </si>
  <si>
    <t>Spese per ricerca da altri Enti di Ricerca</t>
  </si>
  <si>
    <t>TOTALE SPESE PER RICERCA</t>
  </si>
  <si>
    <t>Spese postali da rimborsare alla segretaria</t>
  </si>
  <si>
    <t>Costi di tenuta conto</t>
  </si>
  <si>
    <t>DESTINAZIONE AVANZO DI AMMINISTRAZIONE</t>
  </si>
  <si>
    <t>Avanzo di amministrazione totale</t>
  </si>
  <si>
    <t>F.S.1.02.04</t>
  </si>
  <si>
    <t>Quote associative</t>
  </si>
  <si>
    <t>F.S.1,02,03</t>
  </si>
  <si>
    <t>Iscrizione annuale ad Ertico</t>
  </si>
  <si>
    <t>Ertico</t>
  </si>
  <si>
    <t>GIORNALE CRONOLOGICO DELLE ENTRATE</t>
  </si>
  <si>
    <t>N.</t>
  </si>
  <si>
    <t>Data incasso</t>
  </si>
  <si>
    <t>C/R</t>
  </si>
  <si>
    <t>Numero</t>
  </si>
  <si>
    <t>ICOOR</t>
  </si>
  <si>
    <t>GIORNALE CRONOLOGICO DELLE SPESE</t>
  </si>
  <si>
    <t>Data pagamento</t>
  </si>
  <si>
    <t>Descrizione</t>
  </si>
  <si>
    <t>c/r</t>
  </si>
  <si>
    <t>Progetto</t>
  </si>
  <si>
    <t>N. impegno</t>
  </si>
  <si>
    <t>Alessandro Saccani</t>
  </si>
  <si>
    <t>Sergio Graziosi</t>
  </si>
  <si>
    <t>UNICREDIT BANCA</t>
  </si>
  <si>
    <t>C</t>
  </si>
  <si>
    <t>R</t>
  </si>
  <si>
    <t>ERARIO C/IRPEF</t>
  </si>
  <si>
    <t>Interessi attivi su depositi</t>
  </si>
  <si>
    <t>ERARIO C/INPS</t>
  </si>
  <si>
    <t>PREVISIONI DEFINITIVE</t>
  </si>
  <si>
    <t>IMPEGNATO</t>
  </si>
  <si>
    <t>PAGATO in c/competenza</t>
  </si>
  <si>
    <t>RIMASTO DA PAGARE</t>
  </si>
  <si>
    <t>DIFFERENZA RISPETTO ALLE PREVISIONI</t>
  </si>
  <si>
    <t>PAGATO TOTALE</t>
  </si>
  <si>
    <t>ACCERTATO</t>
  </si>
  <si>
    <t>RISCOSSO in c/competenza</t>
  </si>
  <si>
    <t>RISCOSSO in c/residui</t>
  </si>
  <si>
    <t>RISCOSSO totale</t>
  </si>
  <si>
    <t>Incasso interessi attivi su depositi</t>
  </si>
  <si>
    <t>- Avanzo vincolato da entrate commerciali</t>
  </si>
  <si>
    <t>ERARIO C/INAIL</t>
  </si>
  <si>
    <t>Totale</t>
  </si>
  <si>
    <t>RESIDUI PASSIVI</t>
  </si>
  <si>
    <t xml:space="preserve">Residuo </t>
  </si>
  <si>
    <t>RESIDUI ATTIVI</t>
  </si>
  <si>
    <t xml:space="preserve">Recuperi e rimborsi </t>
  </si>
  <si>
    <t>ERTICO</t>
  </si>
  <si>
    <t>RITENUTE</t>
  </si>
  <si>
    <t>NOTE</t>
  </si>
  <si>
    <t>NETTO VERSATO</t>
  </si>
  <si>
    <t>Somma ritenute</t>
  </si>
  <si>
    <t>- Avanzo vincolato progetti istituzionali</t>
  </si>
  <si>
    <t>Conto consuntivo 2013</t>
  </si>
  <si>
    <t>GESTIONE CONSORZIO</t>
  </si>
  <si>
    <t>IMPOSTA BOLLO CONTO CORRENTE DPR642/72-DM24/5/2012</t>
  </si>
  <si>
    <t>VERSAMENTO RITENUTE (SACCANII, CATTANI, GRAZIOSI)</t>
  </si>
  <si>
    <t>Commissione europea</t>
  </si>
  <si>
    <t>Unimore</t>
  </si>
  <si>
    <t>Spese per ricerca da Unione europea</t>
  </si>
  <si>
    <t>PROGETTO DESERVE</t>
  </si>
  <si>
    <t>1/2013</t>
  </si>
  <si>
    <t>5/2013</t>
  </si>
  <si>
    <t>6/2013</t>
  </si>
  <si>
    <t>IMP.8/12</t>
  </si>
  <si>
    <t>VERSAMENTO INPS COMPENSI DI DICEMBRE (CO.CO.CO.)</t>
  </si>
  <si>
    <t>ACC.18/12</t>
  </si>
  <si>
    <t>ARROTONDAMENTI IRPEF</t>
  </si>
  <si>
    <t>DIVERSI</t>
  </si>
  <si>
    <t>ACC. 19/12</t>
  </si>
  <si>
    <t>ARROTONDAMENTI INPS</t>
  </si>
  <si>
    <t>ACC. 20/12</t>
  </si>
  <si>
    <t>QUADRATURA INAIL</t>
  </si>
  <si>
    <t>ARROTONDAMENTO PREVIDENZIALE</t>
  </si>
  <si>
    <t>Erario C/INPS</t>
  </si>
  <si>
    <t>QUOTA DESERVE DA TRASFERIRE AD UNIMORE</t>
  </si>
  <si>
    <t>10/2013</t>
  </si>
  <si>
    <t>CGS SPA</t>
  </si>
  <si>
    <t>HERO</t>
  </si>
  <si>
    <t>FT. 10 DEL 31/10/2014</t>
  </si>
  <si>
    <t>DALLARA</t>
  </si>
  <si>
    <t>RESIDUI</t>
  </si>
  <si>
    <t>RIMASTE DA RISCUOTERE in c/competenza</t>
  </si>
  <si>
    <t>RIMASTE DA RISCUOTERE in c/residui</t>
  </si>
  <si>
    <t>-</t>
  </si>
  <si>
    <t>FCI</t>
  </si>
  <si>
    <t>+</t>
  </si>
  <si>
    <t>ER-UP</t>
  </si>
  <si>
    <t>=</t>
  </si>
  <si>
    <t>FCF</t>
  </si>
  <si>
    <t>A/D DI AI</t>
  </si>
  <si>
    <t>EA-UI</t>
  </si>
  <si>
    <t>A/D DI AF</t>
  </si>
  <si>
    <t>RAF</t>
  </si>
  <si>
    <t>RPF</t>
  </si>
  <si>
    <t>RAI</t>
  </si>
  <si>
    <t>RPI</t>
  </si>
  <si>
    <t>DIFF</t>
  </si>
  <si>
    <t>RAR</t>
  </si>
  <si>
    <t>RAC</t>
  </si>
  <si>
    <t>ok</t>
  </si>
  <si>
    <t>RPC</t>
  </si>
  <si>
    <t>RPP</t>
  </si>
  <si>
    <t>OK</t>
  </si>
  <si>
    <t>COST</t>
  </si>
  <si>
    <t>IMPRENDO ONE EDIZIONE 1  COSTO FISSO MESE DI DICEMBRE 2014</t>
  </si>
  <si>
    <t>FT.12 DEL 3/12/2014</t>
  </si>
  <si>
    <t>FT. 13  DEL 3/12/2014</t>
  </si>
  <si>
    <t>COMPENSO DOTT.SSA CATTANI II SEM 2014</t>
  </si>
  <si>
    <t>COMPENSO REVISORE 2014</t>
  </si>
  <si>
    <t>COMPENSO ATTIVITA' 2014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</si>
  <si>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</si>
  <si>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</si>
  <si>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</si>
  <si>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</si>
  <si>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</si>
  <si>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</si>
  <si>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</si>
  <si>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</si>
  <si>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</si>
  <si>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</si>
  <si>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F.S.1.04.02</t>
  </si>
  <si>
    <t>Importo residuo</t>
  </si>
  <si>
    <t>VERSAMENTI COMPENSI MESE DI DICEMBRE (16/01/2015)</t>
  </si>
  <si>
    <t>Erario C/irpef</t>
  </si>
  <si>
    <t>VERSAMENTI COMPENSI MESE DI DICEMBRE (23/02/2015)</t>
  </si>
  <si>
    <t>Erario c/inps</t>
  </si>
  <si>
    <t>11/2014</t>
  </si>
  <si>
    <t>12/2014</t>
  </si>
  <si>
    <t>ASSESTAMENTO PARTITE DI GIRO</t>
  </si>
  <si>
    <t>Ritenute extraerariali</t>
  </si>
  <si>
    <t>n. variazione</t>
  </si>
  <si>
    <t>data</t>
  </si>
  <si>
    <t>codice capitolo</t>
  </si>
  <si>
    <t>descrizione capitolo</t>
  </si>
  <si>
    <t>importo</t>
  </si>
  <si>
    <t>causale</t>
  </si>
  <si>
    <t>DA POLITECNICO ATTRAVERSO DESERVE PER ERTICO 2013</t>
  </si>
  <si>
    <t>quota per chiudere il bilancio</t>
  </si>
  <si>
    <t>4/2015</t>
  </si>
  <si>
    <t>1/2015</t>
  </si>
  <si>
    <t>3/2015</t>
  </si>
  <si>
    <t>2/2015</t>
  </si>
  <si>
    <t>5/2015</t>
  </si>
  <si>
    <t>6/2015</t>
  </si>
  <si>
    <t>COMPENSO DOTT.SSA CATTANI II SEM 2015</t>
  </si>
  <si>
    <t>COMPENSO ATTIVITA' 2015</t>
  </si>
  <si>
    <t>COMPENSO REVISORE 2015</t>
  </si>
  <si>
    <t>IMPRENDO ONE EDIZIONE 1  COSTO FISSO MESE DI DICEMBRE 2015</t>
  </si>
  <si>
    <t>F.E.3.09.03</t>
  </si>
  <si>
    <t>diff</t>
  </si>
  <si>
    <t>IMPRENDO ONE  COSTO FISSO MESE DI DICEMBRE 2015</t>
  </si>
  <si>
    <t xml:space="preserve">BONIFICO SEPA A  GRAZIA CATTANI PER  RIMBORSO POSTA 2015 </t>
  </si>
  <si>
    <t>7/2015</t>
  </si>
  <si>
    <t>8/2015</t>
  </si>
  <si>
    <t>9/2015</t>
  </si>
  <si>
    <t>10/2015</t>
  </si>
  <si>
    <t>11/2015</t>
  </si>
  <si>
    <t>COMMISSIONI BANCARIE SU RIMBORSO POSTA CATTANI E CABASSI</t>
  </si>
  <si>
    <t>Silvia Cabassi</t>
  </si>
  <si>
    <t xml:space="preserve"> A  SILVIA CABASSI PER  FT. 389/2015 del 31/12/2015 ATTIVITA'  2015 </t>
  </si>
  <si>
    <t>VERSAMENTO RITENUTE (SACCANII, CATTANI, GRAZIOSI, CABASSI)</t>
  </si>
  <si>
    <t>Da COST associated per progetto COST</t>
  </si>
  <si>
    <t>Stanziamento interessi attivi per pagare commissioni</t>
  </si>
  <si>
    <t>NOTE ALLE ENTRATE 2016</t>
  </si>
  <si>
    <t>da Unitrieste per Ertico</t>
  </si>
  <si>
    <t>da Unimore per Ertico</t>
  </si>
  <si>
    <t>da Politecnico di Milano per Ertico</t>
  </si>
  <si>
    <t>TOTALE ENTRATE</t>
  </si>
  <si>
    <t>Dott. Saccani</t>
  </si>
  <si>
    <t>Dott. Graziosi</t>
  </si>
  <si>
    <t>POLIMI</t>
  </si>
  <si>
    <t>COMMISSIONE EUROPEA</t>
  </si>
  <si>
    <t>UNIMORE</t>
  </si>
  <si>
    <t xml:space="preserve">DA  COST ASSOCIATION </t>
  </si>
  <si>
    <t>VALUE TEAM</t>
  </si>
  <si>
    <t>PARTITARIO DELLE ENTRATE</t>
  </si>
  <si>
    <t>COMPENSO DOTT.SSA CATTANI II SEM 2016</t>
  </si>
  <si>
    <t>COMPENSO REVISORE 2016</t>
  </si>
  <si>
    <t>COMPENSO ATTIVITA' 2016</t>
  </si>
  <si>
    <t>DA COST PER ATTIVITA' 2016</t>
  </si>
  <si>
    <t>Icoor - cost</t>
  </si>
  <si>
    <t>Units</t>
  </si>
  <si>
    <t>Poliba</t>
  </si>
  <si>
    <t>Assestamento Recuperi e Rimborsi per giroconto Cost</t>
  </si>
  <si>
    <t>Finanziamento totale ICOOR</t>
  </si>
  <si>
    <t>finanziamento</t>
  </si>
  <si>
    <t>Totale arrivato dal coordinatore</t>
  </si>
  <si>
    <t>spettante totale come pre fin1</t>
  </si>
  <si>
    <t>quota 3%</t>
  </si>
  <si>
    <t>quota netta da trasferire</t>
  </si>
  <si>
    <t>DA POLIMI PER ERTICO</t>
  </si>
  <si>
    <t>VARIAZIONI AL BILANCIO 2016</t>
  </si>
  <si>
    <t>Prelievo dal Fondo di riserva per stanziamenti insufficienti</t>
  </si>
  <si>
    <t>NEMO</t>
  </si>
  <si>
    <t>IMPRENDO ONE EDIZIONE 1  COSTO FISSO MESE DI DICEMBRE 2016</t>
  </si>
  <si>
    <t>IMPRENDO ONE  COSTO FISSO MESE DI DICEMBRE 2016</t>
  </si>
  <si>
    <t>PAGAMENTO DELEGHE F23/F24 PRENOTATE PAGAMENTO FISCO/INPS/REGIONI (INAIL PREMIO 2016)</t>
  </si>
  <si>
    <t>Erario c/inail</t>
  </si>
  <si>
    <t xml:space="preserve"> AEOLIX</t>
  </si>
  <si>
    <t xml:space="preserve">quota netta da trasferire </t>
  </si>
  <si>
    <t>1/2016</t>
  </si>
  <si>
    <t>2/2016</t>
  </si>
  <si>
    <t>3/2016</t>
  </si>
  <si>
    <t>4/2016</t>
  </si>
  <si>
    <t>5/2016</t>
  </si>
  <si>
    <t>POLIBA</t>
  </si>
  <si>
    <t>UNITS</t>
  </si>
  <si>
    <t xml:space="preserve"> A POLIBA PER FINANZIAMENTO AEOLIX (AL LORDO DEL 3%)</t>
  </si>
  <si>
    <t>A UNITS PER FINANZIAMENTO AEOLIX (AL LORDO DEL 3%)</t>
  </si>
  <si>
    <t>A UNIMORE PER FINANZIAMENTO AEOLIX (AL LORDO DEL 3%)</t>
  </si>
  <si>
    <t xml:space="preserve"> A POLIBA PER FINANZIAMENTO NEMO (AL LORDO DEL 3%)</t>
  </si>
  <si>
    <t>A UNITS PER FINANZIAMENTO NEMO (AL LORDO DEL 3%)</t>
  </si>
  <si>
    <t>A UNIMORE PER FINANZIAMENTO NEMO (AL LORDO DEL 3%)</t>
  </si>
  <si>
    <t>PAGATO  in c/residui</t>
  </si>
  <si>
    <t>RIMASTE DA PAGARE in c/residui</t>
  </si>
  <si>
    <t>6/2016</t>
  </si>
  <si>
    <t>7/2016</t>
  </si>
  <si>
    <t>8/2016</t>
  </si>
  <si>
    <t>9/2016</t>
  </si>
  <si>
    <t>10/2016</t>
  </si>
  <si>
    <t>11/2016</t>
  </si>
  <si>
    <t>12/2016</t>
  </si>
  <si>
    <t>13/2016</t>
  </si>
  <si>
    <t>14/2016</t>
  </si>
  <si>
    <t>15/2016</t>
  </si>
  <si>
    <t>Polimi</t>
  </si>
  <si>
    <t>16/2016</t>
  </si>
  <si>
    <t>Fondo di cassa all'1.01.2017 (C/C 000011138764)</t>
  </si>
  <si>
    <t>Fondo di cassa all'1.01.2017 (C/C 000102150855)</t>
  </si>
  <si>
    <t>Dalla banca risulta al  c/c 000011138764 al 31/12/2017</t>
  </si>
  <si>
    <t>Dalla banca risulta al c/c 102712364 al 31122017</t>
  </si>
  <si>
    <t>MANDATI DI PAGAMENTO O.C. UNIVERSITA  STUDI TRIESTE M. 0005180 0000001 CUP C32F16000090004 Generico Uscita - anticipo quo ta Ertico 2017 - 16/03/2017 - anticipo quota Ertic o 2017 - 2017</t>
  </si>
  <si>
    <t>COMITATO ORGANIZZATORE CONFERENZA MATHEMATICAL OPTIMIZATION</t>
  </si>
  <si>
    <t>UNIVERSITA' DI TRIESTE</t>
  </si>
  <si>
    <t xml:space="preserve"> DA  ERTICO SCRL/PROJ.OPTITRUCK PER  OPTITRUCK GA 713788 </t>
  </si>
  <si>
    <t xml:space="preserve"> DA  POLIMI - AMMINISTRAZIONE CENTRALE PER GESTIONE CONSORZIO 2016</t>
  </si>
  <si>
    <t xml:space="preserve"> DA  POLIMI - AMMINISTRAZIONE CENTRALE (PER ERTICO 2017</t>
  </si>
  <si>
    <t>OPTITRUCK</t>
  </si>
  <si>
    <t>DISPOSIZIONE DI BONIFICO BONIFICO SEPA A  DOTT. SERGIO GRAZIOSI PER  NOTA PROFORMA 9/01/2017 COMPENSO AT TIVITA  2016 TRN 1101170140045057</t>
  </si>
  <si>
    <t>DISPOSIZIONE DI BONIFICO BONIFICO SEPA A  ALESSANDRO SACCANI PER  VS NOTA 12/01/2017 COMPENSO ATTIVIT A  2016 TRN 1201170140045181</t>
  </si>
  <si>
    <t>DISPOSIZIONE DI BONIFICO BONIFICO SEPA A  GRAZIA CATTANI PER  II RATA COMPENSO 2016 COMM              0,00 SPESE              0,00 TRN 1101170280042298</t>
  </si>
  <si>
    <t>IMPRENDO ONE EDIZIONE 1  COSTO FISSO MESE DI GENNAIO 2017</t>
  </si>
  <si>
    <t>DISPOSIZIONE DI BONIFICO BONIFICO SEPA A  MAURO DELL AMICO PER  RIMBORSO SPESE (6,05 POSTA, 65,88 B IGLIETTI DA VISITA) TRN 1201170510082141</t>
  </si>
  <si>
    <t>DISPOSIZIONE DI BONIFICO BONIFICO SEPA A  FEDERICO MALUCELLI PER  RIMBORSO SPESE SPEDIZIONE DOCUMENTI COMM              0,00 SPESE              0,00 TRN 1101170510082445</t>
  </si>
  <si>
    <t>IMPRENDO ONE EDIZIONE 1  COSTO FISSO MESE DI FEBBRAIO 2017</t>
  </si>
  <si>
    <t>DISPOSIZIONE DI BONIFICO BONIFICO SEPA A  ANGELA CAVAZZINI PER  SUPPORTO AMMINISTRATIVO COST PER IL  PERIODO 01/01/2017-28/02/2017 TRN 1101170660047735</t>
  </si>
  <si>
    <t>DISPOSIZIONE DI BONIFICO BONIFICO SEPA A  ROBERTO BALDACCI PER  MISSIONE A FIRENZE IL 03-04/03/2017 COMM              0,00 SPESE              0,00 TRN 1101170780016813</t>
  </si>
  <si>
    <t>IMPRENDO ONE EDIZIONE 1  COSTO FISSO MESE DI MARZO 2017</t>
  </si>
  <si>
    <t>DISPOSIZIONE DI BONIFICO BONIFICO SEPA A  PAOLO TOTH PER  RIMBORSO MISSIONE A BRUXELLES 26/05 /2016 TRN 1201170920021194</t>
  </si>
  <si>
    <t>DISPOSIZIONE DI BONIFICO BONIFICO SEPA A  ERTICO PER  COTISATION ANNUELLE 2017 ERTICO FEE S NO. 2017/012 TRN 1101171070008190</t>
  </si>
  <si>
    <t>DISPOSIZIONE DI BONIFICO BONIFICO SEPA A  CONSORZIO INTERUN. PER OTTIMIZZAZIO PER  GIROCONTO COMM              5,54 SPESE              0,00 TRN 1101171080244887</t>
  </si>
  <si>
    <t>IMPRENDO ONE EDIZIONE 1  COSTO FISSO MESE DI APRILE 2017</t>
  </si>
  <si>
    <t>DISPOSIZIONE DI BONIFICO BONIFICO SEPA A  LAURA GALLI PER  RIMBORSO QUOTE AIRO 2017 GALLI E FR ANGIONI (FONDI VALUE TEAM) TRN 1201171210031568</t>
  </si>
  <si>
    <t>DISPOSIZIONE DI BONIFICO BONIFICO SEPA A  MAURO DELL AMICO PER  MISSIONE A VARESE 19/20-04-2017 INC ONTRO PER RICERCA TRN 1201171270012057</t>
  </si>
  <si>
    <t>DISPOSIZIONE DI BONIFICO BONIFICO SEPA A  ANGELA CAVAZZINI PER  SALDO ATTIVITA  COST 01/01/2017-30/ 04/2017 TRN 1101171390216495</t>
  </si>
  <si>
    <t>IMPRENDO ONE EDIZIONE 1  COSTO FISSO MESE DI MAGGIO 2017</t>
  </si>
  <si>
    <t>DISPOSIZIONE DI BONIFICO BONIFICO SEPA A  NATALIA HADJIDIMITRIOU PER  MISSIONE A TRIESTE PER MEETING FINA LE COGISTICS 8/6/2017 TRN 1101171760030825</t>
  </si>
  <si>
    <t>DISPOSIZIONE DI BONIFICO BONIFICO SEPA A  NATALIA HADJIDIMITRIOU PER  RIMBORSO AEREO PER MEETING ERTICO 5 -6/7/2017 SUCCESSIVAMENTE ANNULLATO TRN 1101171760031042</t>
  </si>
  <si>
    <t>IMPRENDO ONE EDIZIONE 1  COSTO FISSO MESE DI GIUGNO 2017</t>
  </si>
  <si>
    <t>DISPOSIZIONE DI BONIFICO BONIFICO SEPA A  FEDERICO MALUCELLI PER  MISSIONE DA MILANO A REGGIO EMILIA PER RIUNIONE CON AMMINISTRAZIONE CO TRN 1101171850109452</t>
  </si>
  <si>
    <t>IMPRENDO ONE EDIZIONE 1  COSTO FISSO MESE DI LUGLIO 2017</t>
  </si>
  <si>
    <t>DISPOSIZIONE DI BONIFICO BONIFICO SEPA A  ERTICO PER  VAT OF ANNUAL FEES  NO 2017/012 (21 %) TRN 1101172130244263</t>
  </si>
  <si>
    <t>COGISTICS</t>
  </si>
  <si>
    <t>VS ORDINE DI BONIFICO SU ESTERO RIF.   111019492211 EUR        2.360,00 A   YORAM HADDAD COST ACTION   TD1207  STSM   2016-1 2-03</t>
  </si>
  <si>
    <t>IMPRENDO ONE  COSTO FISSO MESE DI GENNAIO 2017</t>
  </si>
  <si>
    <t>IMPRENDO ONE  COSTO FISSO MESE DI FEBBRAIO 2017</t>
  </si>
  <si>
    <t>IMPRENDO ONE  COSTO FISSO MESE DI MARZO 2017</t>
  </si>
  <si>
    <t>VS ORDINE DI BONIFICO SU ESTERO RIF.   111019677088 EUR          150,00 A   MARKO BOSKOVIC COST ACTION   TD1207  TRAINING_SCHO OL   2017-03-13  CITY   NOVI SAD, S</t>
  </si>
  <si>
    <t>DISPOSIZIONE DI BONIFICO BONIFICO SEPA A  DANIELE CESARINI PER  COST Action   TD1207  Training_scho ol   2017-03-13  City   Novi Sad, S TRN 1101170930155886</t>
  </si>
  <si>
    <t>DISPOSIZIONE DI BONIFICO BONIFICO SEPA A  Tommaso Colombo PER  COST Action   TD1207  Training_scho ol   2017-03-13  City   Novi Sad, S TRN 1101170930158382</t>
  </si>
  <si>
    <t>DISPOSIZIONE DI BONIFICO BONIFICO SEPA A  MIRNA GRZANIC PER  COST ACTION   TD1207  TRAINING_SCHO OL   2017-03-13  CITY   NOVI SAD, S TRN 1101170930162050</t>
  </si>
  <si>
    <t>DISPOSIZIONE DI BONIFICO BONIFICO SEPA A  VANESA GUERRERO LOZANO PER  COST ACTION   TD1207  TRAINING_SCHO OL   2017-03-13  CITY   NOVI SAD, S TRN 1101170930163496</t>
  </si>
  <si>
    <t>VS ORDINE DI BONIFICO SU ESTERO RIF.   111019677242 EUR          150,00 A   IVA GURANOV COST ACTION   TD1207  TRAINING_SCHO OL   2017-03-13  CITY   NOVI SAD, S</t>
  </si>
  <si>
    <t>DISPOSIZIONE DI BONIFICO BONIFICO SEPA A  HAJDU LSZL PER  COST ACTION   TD1207  TRAINING_SCHO OL   2017-03-13  CITY   NOVI SAD, S TRN 1101170930169888</t>
  </si>
  <si>
    <t>DISPOSIZIONE DI BONIFICO BONIFICO SEPA A  ASUNCIN JIMNEZ-CORDERO PER  COST ACTION   TD1207  TRAINING_SCHO OL   2017-03-13  CITY   NOVI SAD, S TRN 1101170930173341</t>
  </si>
  <si>
    <t>DISPOSIZIONE DI BONIFICO BONIFICO SEPA A  ARTHUR DE LUCENA KRAMER PER  COST Action   TD1207  Training_scho ol   2017-03-13  City   Novi Sad, S TRN 1201170930176041</t>
  </si>
  <si>
    <t>VS ORDINE DI BONIFICO SU ESTERO RIF.   111019677262 EUR          150,00 A   DIMITRIJE JANCIC COST ACTION   TD1207  TRAINING_SCHO OL   2017-03-13  CITY   NOVI SAD, S</t>
  </si>
  <si>
    <t>DISPOSIZIONE DI BONIFICO BONIFICO SEPA A  ELIZAVETA LEBEDEVA PER  COST ACTION   TD1207  TRAINING_SCHO OL   2017-03-13  CITY   NOVI SAD, S TRN 1101170930178472</t>
  </si>
  <si>
    <t>DISPOSIZIONE DI BONIFICO BONIFICO SEPA A  KERSTIN MAIER PER  COST ACTION   TD1207  TRAINING_SCHO OL   2017-03-13  CITY   NOVI SAD, S TRN 1101170930179424</t>
  </si>
  <si>
    <t>DISPOSIZIONE DI BONIFICO BONIFICO SEPA A  MARC OSTERLAND PER  COST ACTION   TD1207  TRAINING_SCHO OL   2017-03-13  CITY   NOVI SAD, S TRN 1101170930183081</t>
  </si>
  <si>
    <t>VS ORDINE DI BONIFICO SU ESTERO RIF.   111019677365 EUR          150,00 A   MIHAILO OBRENOVIC COST ACTION   TD1207  TRAINING_SCHO OL   2017-03-13  CITY   NOVI SAD, S</t>
  </si>
  <si>
    <t>VS ORDINE DI BONIFICO SU ESTERO RIF.   111019677394 EUR          150,00 A   NENAD PANTELIC COST ACTION   TD1207  TRAINING_SCHO OL   2017-03-13  CITY   NOVI SAD, S</t>
  </si>
  <si>
    <t>DISPOSIZIONE DI BONIFICO BONIFICO SEPA A  MARTA QUEMADA LPEZ PER  COST ACTION   TD1207  TRAINING_SCHO OL   2017-03-13  CITY   NOVI SAD, S TRN 1101170930197008</t>
  </si>
  <si>
    <t>DISPOSIZIONE DI BONIFICO BONIFICO SEPA A  MARIA REMEDIOS SILLERO DENAMIEL PER  COST ACTION   TD1207  TRAINING_SCHO OL   2017-03-13  CITY   NOVI SAD, S TRN 1101170930200921</t>
  </si>
  <si>
    <t>VS ORDINE DI BONIFICO SU ESTERO RIF.   111019677534 EUR          150,00 A   NINA RADOJICIC COST ACTION   TD1207  TRAINING_SCHO OL   2017-03-13  CITY   NOVI SAD, S</t>
  </si>
  <si>
    <t>DISPOSIZIONE DI BONIFICO BONIFICO SEPA A  RENE SAITENMACHER PER  COST ACTION   TD1207  TRAINING_SCHO OL   2017-03-13  CITY   NOVI SAD, S TRN 1101170930202094</t>
  </si>
  <si>
    <t>DISPOSIZIONE DI BONIFICO BONIFICO SEPA A  LASZLO TOTH PER  COST ACTION   TD1207  TRAINING_SCHO OL   2017-03-13  CITY   NOVI SAD, S TRN 1101170930203260</t>
  </si>
  <si>
    <t>DISPOSIZIONE DI BONIFICO BONIFICO SEPA A  RAYKA KIRILOVA VLADOVA PER  COST ACTION   TD1207  TRAINING_SCHO OL   2017-03-13  CITY   NOVI SAD, S TRN 1101170930204255</t>
  </si>
  <si>
    <t>DISPOSIZIONE DI BONIFICO BONIFICO SEPA A  NEDA YOUSEFI PER  COST ACTION   TD1207  TRAINING_SCHO OL   2017-03-13  CITY   NOVI SAD, S TRN 1101170930205737</t>
  </si>
  <si>
    <t>DISPOSIZIONE DI BONIFICO BONIFICO SEPA A  ROBERT GOWER PER  COST ACTION   TD1207  TRAINING_SCHO OL   2017-03-13  CITY   NOVI SAD, S TRN 1101170930213500</t>
  </si>
  <si>
    <t>DISPOSIZIONE DI BONIFICO BONIFICO SEPA A  TIM CONRAD PER  COST ACTION   TD1207  TRAINING_SCHO OL   2017-03-13  CITY   NOVI SAD, S TRN 1101170930214797</t>
  </si>
  <si>
    <t>DISPOSIZIONE DI BONIFICO BONIFICO SEPA A  Thomas Bridi PER  COST Action   TD1207  Training_scho ol   2017-03-13  City   Novi Sad, S TRN 1101170930231572</t>
  </si>
  <si>
    <t>DISPOSIZIONE DI BONIFICO BONIFICO SEPA A  CRAY COMPUTER GMBH PER  COST ACTION   TD1207  TRAINING_SCHO OL   2017-03-13  NOVI SAD - PROF.UT TRN 1101170960135000</t>
  </si>
  <si>
    <t>DISPOSIZIONE DI BONIFICO BONIFICO SEPA A  Fanti Maria Pia PER  COST Action   TD1207  Training_scho ol   2017-03-13  City   Novi Sad, S TRN 1101170960173681</t>
  </si>
  <si>
    <t>DISPOSIZIONE DI BONIFICO BONIFICO SEPA A  AMBROS GLEIXNER PER  COST ACTION   TD1207  TRAINING_SCHO OL   2017-03-13  CITY   NOVI SAD, S TRN 1101170960261341</t>
  </si>
  <si>
    <t>DISPOSIZIONE DI BONIFICO BONIFICO SEPA A  ANDREA LODI PER  COST Action   TD1207  Meeting   201 7-03-29  City   Modena, Italy  TRN 1201170960263890</t>
  </si>
  <si>
    <t>DISPOSIZIONE DI BONIFICO BONIFICO SEPA A  ANTONIO FRANGIONI PER  COST Action   TD1207  Meeting   201 7-03-29  City   Modena, Italy  TRN 1101170960265656</t>
  </si>
  <si>
    <t>DISPOSIZIONE DI BONIFICO BONIFICO SEPA A  AMBROS GLEIXNER PER  COST ACTION   TD1207  MEETING   201 7-03-29  CITY   MODENA, ITALY  TRN 1101170960272838</t>
  </si>
  <si>
    <t>DISPOSIZIONE DI BONIFICO BONIFICO SEPA A  JAAN LELLEP PER  COST ACTION   TD1207  MEETING   201 7-03-29  CITY   MODENA, ITALY  TRN 1101170960274803</t>
  </si>
  <si>
    <t>DISPOSIZIONE DI BONIFICO BONIFICO SEPA A  NETO JOSE PER  COST ACTION   TD1207  MEETING   201 7-03-29  CITY   MODENA, ITALY  TRN 1101170960277321</t>
  </si>
  <si>
    <t>VS ORDINE DI BONIFICO SU ESTERO RIF.   111019688941 EUR        5.000,00 A   UNIVERSITY OF NOVI SAD-FACULTY O COST ACTION TD1207 TRAINING_SCHOOL  2017-03-13 NOVI SAD,LOS REIMBURSEME</t>
  </si>
  <si>
    <t>DISPOSIZIONE DI BONIFICO BONIFICO SEPA A  NATALIA HADJIDIMITRIOU PER  COMPENSO ATTIVITA  DI RACCOLTA DATI  E AGGIORNAMENTO WIKIPEDIA AZIONE C TRN 1101170960374397</t>
  </si>
  <si>
    <t>DISPOSIZIONE DI BONIFICO BONIFICO SEPA A  BERND BISCHL PER  COST ACTION   TD1207  TRAINING_SCHO OL   2017-03-13  CITY   NOVI SAD, S TRN 1101171000423210</t>
  </si>
  <si>
    <t>DISPOSIZIONE DI BONIFICO BONIFICO SEPA A  Emanuele Crisostomi PER  COST Action   TD1207  Meeting   201 7-03-29  City   Modena, Italy  TRN 1101171000428560</t>
  </si>
  <si>
    <t>DISPOSIZIONE DI BONIFICO BONIFICO SEPA A  Comitato Organizzatore Conferenza M athem PER  COST Action TD1207 Meeting 2017-03- TRN 1101171020363429</t>
  </si>
  <si>
    <t>VS ORDINE DI BONIFICO SU ESTERO RIF.   111019702255 EUR          658,85 A   SEVKET ILKER BIRBIL COST ACTION   TD1207  MEETING   201 7-03-29  CITY   MODENA, ITALY</t>
  </si>
  <si>
    <t>DISPOSIZIONE DI BONIFICO BONIFICO SEPA A  HENRIK MADSEN PER  COST ACTION   TD1207  MEETING   201 7-03-29  CITY   MODENA, ITALY  TRN 1101171020374213</t>
  </si>
  <si>
    <t>DISPOSIZIONE DI BONIFICO BONIFICO SEPA A  ARIS AUZANS PER  COST ACTION   TD1207  MEETING   201 7-03-29  CITY   MODENA, ITALY  TRN 1101171030405062</t>
  </si>
  <si>
    <t>DISPOSIZIONE DI BONIFICO BONIFICO SEPA A  LAUREANO ESCUDERO PER  COST ACTION   TD1207  MEETING   201 7-03-29  CITY   MODENA, ITALY  TRN 1101171030409056</t>
  </si>
  <si>
    <t>DISPOSIZIONE DI BONIFICO BONIFICO SEPA A  STEFKA FIDANOVA PER  COST ACTION   TD1207  MEETING   201 7-03-29  CITY   MODENA, ITALY  TRN 1101171030409480</t>
  </si>
  <si>
    <t>DISPOSIZIONE DI BONIFICO BONIFICO SEPA A  CHRISTOPH HELMBERG PER  COST ACTION   TD1207  MEETING   201 7-03-29  CITY   MODENA, ITALY  TRN 1101171030409895</t>
  </si>
  <si>
    <t>DISPOSIZIONE DI BONIFICO BONIFICO SEPA A  IIRO HARJUNKOSKI PER  COST ACTION   TD1207  MEETING   201 7-03-29  CITY   MODENA, ITALY  TRN 1101171030410652</t>
  </si>
  <si>
    <t>DISPOSIZIONE DI BONIFICO BONIFICO SEPA A  MARTIN MEVISSEN PER  COST ACTION   TD1207  MEETING   201 7-03-29  CITY   MODENA, ITALY  TRN 1101171030411769</t>
  </si>
  <si>
    <t>VS ORDINE DI BONIFICO SU ESTERO RIF.   111019705345 EUR          692,00 A   ZELJKO KANOVIC COST ACTION   TD1207  MEETING   201 7-03-29  CITY   MODENA, ITALY</t>
  </si>
  <si>
    <t>DISPOSIZIONE DI BONIFICO BONIFICO SEPA A  M. SOLODOV-MME SAGASTIZABAL PER  COST ACTION   TD1207  MEETING   201 7-03-29  CITY   MODENA, ITALY  TRN 1101171030414847</t>
  </si>
  <si>
    <t>DISPOSIZIONE DI BONIFICO BONIFICO SEPA A  JULIUS ZILINSKAS PER  COST ACTION   TD1207  MEETING   201 7-03-29  CITY   MODENA, ITALY  TRN 1101171030417346</t>
  </si>
  <si>
    <t>VS ORDINE DI BONIFICO SU ESTERO RIF.   111019705369 EUR          697,00 A   MILENA PETKOVIC COST ACTION   TD1207  MEETING   201 7-03-29  CITY   MODENA, ITALY</t>
  </si>
  <si>
    <t>VS ORDINE DI BONIFICO SU ESTERO RIF.   111019707628 EUR          776,36 A   ALDO BISCHI COST ACTION   TD1207  MEETING   201 7-03-29  CITY   MODENA, ITALY</t>
  </si>
  <si>
    <t>DISPOSIZIONE DI BONIFICO BONIFICO SEPA A  THORSTEN KOCH PER  COST ACTION   TD1207  MEETING   201 7-03-29  CITY   MODENA, ITALY  TRN 1101171040073143</t>
  </si>
  <si>
    <t>DISPOSIZIONE DI BONIFICO BONIFICO SEPA A  KONRAD-ZUSE ZENTRUM FUR INFORMATION STECHNIK BERLIN PER  COST TD1207 - DISSEMINATION,WIKI TRN 1101171040078697</t>
  </si>
  <si>
    <t>DISPOSIZIONE DI BONIFICO BONIFICO SEPA A  IMMANUEL BOMZE PER  COST ACTION   TD1207  MEETING   201 7-03-29  CITY   MODENA, ITALY  TRN 1101171080424770</t>
  </si>
  <si>
    <t>VS ORDINE DI BONIFICO SU ESTERO RIF.   111019711754 EUR          781,60 A   HARIS GAVRANOVIC COST ACTION   TD1207  MEETING   201 7-03-29  CITY   MODENA, ITALY</t>
  </si>
  <si>
    <t>DISPOSIZIONE DI BONIFICO BONIFICO SEPA A  ALAN HENRY TKACZYK PER  COST ACTION   TD1207  MEETING   201 7-03-29  CITY   MODENA, ITALY  TRN 1101171080431904</t>
  </si>
  <si>
    <t>DISPOSIZIONE DI BONIFICO BONIFICO SEPA A  CLAUDIA D AMBROSIO PER  COST ACTION   TD1207  MEETING   201 7-03-29  CITY   MODENA, ITALY  TRN 1101171080433217</t>
  </si>
  <si>
    <t>DISPOSIZIONE DI BONIFICO BONIFICO SEPA A  TURBOULT FRANCOIS PER  COST ACTION   TD1207  MEETING   201 7-03-29  CITY   MODENA, ITALY  TRN 1101171080434878</t>
  </si>
  <si>
    <t>DISPOSIZIONE DI BONIFICO BONIFICO SEPA A  EMILIO CARRIZOSA PRIEGO PER  COST ACTION   TD1207  MEETING   201 7-03-29  CITY   MODENA, ITALY  TRN 1101171090160383</t>
  </si>
  <si>
    <t>DISPOSIZIONE DI BONIFICO BONIFICO SEPA A  FRAUKE LIERS PER  COST ACTION   TD1207  MEETING   201 7-03-29  CITY   MODENA, ITALY  TRN 1101171090162872</t>
  </si>
  <si>
    <t>IMPRENDO ONE  COSTO FISSO MESE DI APRILE 2017</t>
  </si>
  <si>
    <t>DISPOSIZIONE DI BONIFICO BONIFICO SEPA A  FABIO D ANDREAGIOVANNI PER  COST ACTION   TD1207  MEETING   201 7-03-29  CITY   MODENA, ITALY  TRN 1101171220229166</t>
  </si>
  <si>
    <t>DISPOSIZIONE DI BONIFICO BONIFICO SEPA A  Daniele Vigo PER  COST Action   TD1207  Meeting   201 7-03-29  City   Modena, Italy  TRN 1201171220230526</t>
  </si>
  <si>
    <t>VS ORDINE DI BONIFICO SU ESTERO RIF.   111019738879 EUR          150,00 A   NIKOLA BABIC COST ACTION   TD1207  TRAINING_SCHO OL   2017-03-13  CITY   NOVI SAD, S</t>
  </si>
  <si>
    <t>DISPOSIZIONE DI BONIFICO BONIFICO SEPA A  FABRIZIO LACALANDRA PER  COST Action   TD1207  Meeting   201 7-03-29  City   Modena, Italy  TRN 1101171220232473</t>
  </si>
  <si>
    <t>DISPOSIZIONE DI BONIFICO BONIFICO SEPA A  Fabio Tardella PER  COST Action   TD1207  Meeting   201 7-03-29  City   Modena, Italy  TRN 1201171290171780</t>
  </si>
  <si>
    <t>IMPRENDO ONE  COSTO FISSO MESE DI MAGGIO 2017</t>
  </si>
  <si>
    <t>IMPRENDO ONE  COSTO FISSO MESE DI GIUGNO 2017</t>
  </si>
  <si>
    <t>IMPRENDO ONE  COSTO FISSO MESE DI LUGLIO 2017</t>
  </si>
  <si>
    <t>SERGIO GRAZIOSI</t>
  </si>
  <si>
    <t>ALESSANDRO SACCANI</t>
  </si>
  <si>
    <t>GRAZIA CATTANI</t>
  </si>
  <si>
    <t>MAURO DELL'AMICO</t>
  </si>
  <si>
    <t>FEDERICO MALUCELLI</t>
  </si>
  <si>
    <t>ANGELA CAVAZZINI</t>
  </si>
  <si>
    <t>ROBERTO BALDACCI</t>
  </si>
  <si>
    <t>PAOLO TOTH</t>
  </si>
  <si>
    <t>LAURA GALLI</t>
  </si>
  <si>
    <t>NATALIA HADJIDIMITRIOU</t>
  </si>
  <si>
    <t xml:space="preserve">COMMISSIONI BANCARIE- GIROCONTO DA CONTO ORDINARIO A CONTO COST PER  ANTICIPO PER CONFERENZA FINALE COST </t>
  </si>
  <si>
    <t xml:space="preserve"> DA  COMITATO ORGANIZZATORE CONFERENZA M  ATHEMATICAL OPTIMIZATION PER  COST Action TD1207 Meeting 2017-03 - RESTITUZIONE ANTICIPO</t>
  </si>
  <si>
    <t>BONIFICO  A  COMITATO ORGANIZZATORE CONFERENZA M PER  ANTICIPO COMITATO ORGANIZZATORE CON FERENZA MATHEMATICAL OPTIMIZATION - ANTICIPO FONDI</t>
  </si>
  <si>
    <t>COMITATO ORGANIZZATORE</t>
  </si>
  <si>
    <t xml:space="preserve">DISPOSIZIONE DI BONIFICO BONIFICO SEPA A  NETO JOSE PER  COST ACTION   TD1207  STSM   2017-0 1-14  DESIGN OF ROBUST ENERGY NETWO </t>
  </si>
  <si>
    <t>DISPOSIZIONE DI BONIFICO BONIFICO SEPA A  SANDRA BENTEZ PEA PER  COST ACTION   TD1207  TRAINING_SCHO OL   2017-03-13  CITY   NOVI SAD</t>
  </si>
  <si>
    <t xml:space="preserve"> GIROCONTO DAL CONTO ORDINARIO AL CONTO COST PER  ANTICIPO PER CONFERENZA FINALE COST  TD1207 </t>
  </si>
  <si>
    <t xml:space="preserve">BONIFICO A VOSTRO FAVORE BONIFICO SEPA DA  COST ASSOCIATION A I S B L PER  AGA-TD1207-4 COMM            </t>
  </si>
  <si>
    <t>BONIFICO A VOSTRO FAVORE ACCREDITO PER ESTINZIONE 1668/102712364</t>
  </si>
  <si>
    <t>BONIFICO A VOSTRO FAVORE BONIFICO SEPA DA  INSTITUTE OF COMMUNICATION PER  NEMO-2ND INSTALLMENT OF THE PREFINANCING-713794 TRN 1001172848037284</t>
  </si>
  <si>
    <t>IMPRENDO ONE EDIZIONE 1  COSTO FISSO MESE DI AGOSTO 2017</t>
  </si>
  <si>
    <t>DISPOSIZIONE DI BONIFICO A MAURO DELL'AMICO PER RIMBORSO SPESE RISTORANTE PROF. DELL'AMICO MISSIONE A SORRENTO 4-7/09/2017</t>
  </si>
  <si>
    <t>DISPOSIZIONE DI BONIFICO BONIFICO SEPA A  SILVIA CABASSI PER  FT. 240/2017 DEL 31.08.2017 COMM              0,00 SPESE              0,00 TRN 1101172690264268</t>
  </si>
  <si>
    <t>IMPRENDO ONE EDIZIONE 1  COSTO FISSO MESE DI SETTEMBRE 2017</t>
  </si>
  <si>
    <t>DISPOSIZIONE DI BONIFICO BONIFICO SEPA A  GRAZIA CATTANI PER  I RATA COMPENSO ATTIVIT  AMMINISTRA TIVA 2017 TRN 1101172810005138</t>
  </si>
  <si>
    <t>DISPOSIZIONE DI BONIFICO BONIFICO SEPA A  MAURO DELL AMICO PER  MISSIONE ERTICO 20/21-09-2017 (FOND I DELL AMICO) TRN 1201172850480685</t>
  </si>
  <si>
    <t>ERARIO C/IRAP</t>
  </si>
  <si>
    <t>SILVIA CABASSI</t>
  </si>
  <si>
    <t>PAGAMENTO DELEGHE F23/F24 PRENOTATE PAGAMENTO FISCO/INPS/REGIONI (CABASSI)</t>
  </si>
  <si>
    <r>
      <t xml:space="preserve">DISPOSIZIONE PER GIROCONTO BONIFICO SEPA DA  COST A ORDINARIO ICOOR SALDO CONTO CORRENTE COST </t>
    </r>
    <r>
      <rPr>
        <sz val="10"/>
        <color indexed="10"/>
        <rFont val="Arial"/>
        <family val="2"/>
      </rPr>
      <t>(per la distribuzione vedere lo schema del COST)</t>
    </r>
  </si>
  <si>
    <t>IMPRENDO ONE  COSTO FISSO MESE DI AGOSTO 2017</t>
  </si>
  <si>
    <t xml:space="preserve">GIROFONDO RECUPERO SEDE DI BOLOGNA DEI FONDI ERTICO PRE 2012 ARRETRATI DAL RESIDUO DEL PROGETTO COST </t>
  </si>
  <si>
    <r>
      <t xml:space="preserve">RESTITUZIONE DEI FONDI GESTIONE ORDINARIA 2016 DAL RESIDUO DEL PROGETTO COST  (li avevo presi da value team, meglio prenderli da avanzo COST) </t>
    </r>
    <r>
      <rPr>
        <sz val="11"/>
        <color indexed="10"/>
        <rFont val="Arial"/>
        <family val="2"/>
      </rPr>
      <t xml:space="preserve"> (mail Mauro 16/08/17)</t>
    </r>
  </si>
  <si>
    <t>RECUPERO SEDE UNIMORE fondi Ertico 2017 compresi iva ((15000+3150)/4=4537,50)</t>
  </si>
  <si>
    <t>FONDI DELL'AMICO</t>
  </si>
  <si>
    <t>CAMERA DI COMMERCIO</t>
  </si>
  <si>
    <t>PAGAMENTO DELEGHE F23/F24 PRENOTATE PAGAMENTO FISCO/INPS/REGIONI (CAMERA COMMERCIO)</t>
  </si>
  <si>
    <t>PAGAMENTO DELEGHE F23/F24 PRENOTATE PAGAMENTO FISCO/INPS/REGIONI (GRAZIOSI+SACCANI)</t>
  </si>
  <si>
    <t>PAGAMENTO DELEGHE F23/F24 PRENOTATE PAGAMENTO FISCO/INPS/REGIONI (410 GRAZIOSI + 300 SACCANI+ 400 CATTANI</t>
  </si>
  <si>
    <t>PAGAMENTO DELEGHE F23/F24 PRENOTATE PAGAMENTO FISCO/INPS/REGIONI (INAIL ANTICIPO 2017)</t>
  </si>
  <si>
    <t>GIROCONTO DA CONTO ORDINARIO A CONTO COST PER  ANTICIPO PER CONFERENZA FINALE COST (GIRATI PER ERRORE AL COST)</t>
  </si>
  <si>
    <t>CONTO BALDACCI</t>
  </si>
  <si>
    <t>PAGAMENTO DELEGHE F23/F24 PRENOTATE PAGAMENTO FISCO/INPS/REGIONI (CAVAZZINI)</t>
  </si>
  <si>
    <t>PAGAMENTO DELEGHE F23/F24 PRENOTATE PAGAMENTO FISCO/INPS/REGIONI (SELINI FANTI BRIDI)</t>
  </si>
  <si>
    <t>PAGAMENTO DELEGHE F23/F24 PRENOTATE PAGAMENTO FISCO/INPS/REGIONI (CRISOSTOMI)</t>
  </si>
  <si>
    <t>CRISOSTOMI EMANUELE</t>
  </si>
  <si>
    <t>MARIA PIA FANTI</t>
  </si>
  <si>
    <t>BRIDI THOMAS</t>
  </si>
  <si>
    <t>PAGAMENTO DELEGHE F23/F24 PRENOTATE PAGAMENTO FISCO/INPS/REGIONI (2016 EURO 220,83) (2017 EURO 341,87)</t>
  </si>
  <si>
    <t>PAGAMENTO DELEGHE F23/F24 PRENOTATE PAGAMENTO FISCO/INPS/REGIONI (2016 EURO 220,83) (2017 EURO 341,87) (INTERESSI 1,02 EURO)</t>
  </si>
  <si>
    <t>PAGAMENTO DELEGHE F23/F24 PRENOTATE PAGAMENTO FISCO/INPS/REGIONI (2016 EURO 220,83) (2017 EURO 341,87) (INTERESSI 2,87 EURO)</t>
  </si>
  <si>
    <t>PAGAMENTO DELEGHE F23/F24 PRENOTATE PAGAMENTO FISCO/INPS/REGIONI (2016 EURO 220,83) (2017 EURO 341,87) (INTERESSI 4,72 EURO)</t>
  </si>
  <si>
    <t>PAGAMENTO DELEGHE F23/F24 PRENOTATE PAGAMENTO FISCO/INPS/REGIONI (2016 EURO 220,83) (2017 EURO 341,87) (INTERESSI 6,58 EURO)</t>
  </si>
  <si>
    <t>COMMISSIONI BANCARIE SU GIROCONTI PRECEDENTE</t>
  </si>
  <si>
    <t>COMPETENZE CONTO LIQUIDAZIONE</t>
  </si>
  <si>
    <t>UNICREDIT</t>
  </si>
  <si>
    <t>COMPETENZE C/LIQUIDAZIONE CONTO COST</t>
  </si>
  <si>
    <t>DISPOSIZIONE PER GIROCONTO BONIFICO SEPA DA  CONSORZIO INTERUNIVERSITARIO PER L PER  SALDO CONTO CORRENTE COST - QUOTA DI GESTIONE DEL 2016</t>
  </si>
  <si>
    <t>maggiore 130.000</t>
  </si>
  <si>
    <t>minore 130.000</t>
  </si>
  <si>
    <t>1 PRE FINANZIAMENTO al lordo del 3%</t>
  </si>
  <si>
    <t>1 PRE FINANZIAMENTO al netto del 3%</t>
  </si>
  <si>
    <t>1)</t>
  </si>
  <si>
    <t>2)</t>
  </si>
  <si>
    <t>3)</t>
  </si>
  <si>
    <t>1 INSTALLEMENT</t>
  </si>
  <si>
    <t>2 INSTALLEMENT</t>
  </si>
  <si>
    <t>Elviten</t>
  </si>
  <si>
    <t>Plan4res</t>
  </si>
  <si>
    <t>Unipi</t>
  </si>
  <si>
    <t>1/2017</t>
  </si>
  <si>
    <t>2/2017</t>
  </si>
  <si>
    <t>3/2017</t>
  </si>
  <si>
    <t xml:space="preserve"> A POLIBA PER FINANZIAMENTO OPTITRUCK (AL LORDO DEL 3%)</t>
  </si>
  <si>
    <t>A UNITS PER FINANZIAMENTO OPTITRUCK(AL LORDO DEL 3%)</t>
  </si>
  <si>
    <t>A UNIMORE PER FINANZIAMENTO OPTITRUCK (AL LORDO DEL 3%)</t>
  </si>
  <si>
    <t>AEOLIX</t>
  </si>
  <si>
    <t>DISPOSIZIONE DI BONIFICO BONIFICO SEPA A  TESORERIA DELLO STATO PER  130217+02875691202+TRASF. 1 RATA PR OG.AEOLIX+CONSORZIO TRN 1101170440075995</t>
  </si>
  <si>
    <t>DISPOSIZIONE DI BONIFICO BONIFICO SEPA A  TESORERIA DELLO STATO PER  130217+02875691202+TRASF. 1 RATA PR OG.NEMO++CONSORZIO TRN 1101170440075995</t>
  </si>
  <si>
    <t>DISPOSIZIONE DI BONIFICO BONIFICO SEPA A  TESORERIA DELLO STATO PER  130217+02875691202+TRASF. 1 RATA PR OG.OPTITRUCK++CONSORZIO TRN 1101170440075995</t>
  </si>
  <si>
    <t>DISPOSIZIONE DI BONIFICO BONIFICO SEPA A  TESORERIA DELLO STATO PER  130217+02875691202+TRASF. 1 RATA PR OG.AEOLIX+CONSORZIO TRN 1101170440075995 - RECUPERO 3%</t>
  </si>
  <si>
    <t>DISPOSIZIONE DI BONIFICO BONIFICO SEPA A  TESORERIA DELLO STATO PER  130217+02875691202+TRASF. 1 RATA PR OG.NEMO++CONSORZIO TRN 1101170440075995 RECUPERO 3%</t>
  </si>
  <si>
    <t>DISPOSIZIONE DI BONIFICO BONIFICO SEPA A  TESORERIA DELLO STATO PER  130217+02875691202+TRASF. 1 RATA PR OG.OPTITRUCK++CONSORZIO TRN 1101170440075995 RECUPERO 3%</t>
  </si>
  <si>
    <t>DISPOSIZIONE DI BONIFICO BONIFICO SEPA A  TESORERIA DELLO STATO PER  130217+02875691202+TRASF. 1 RATA PR OG.OPTITRUCK++CONSORZIO TRN 1101170440075995 RECUPERO QUOTA PREGRESSA ERTICO</t>
  </si>
  <si>
    <t>PARTITARIO DELLE SPESE</t>
  </si>
  <si>
    <t>Avanzo prudenziale 2016</t>
  </si>
  <si>
    <t>da Politecnico di Bari per Ertico</t>
  </si>
  <si>
    <t>NOTE ALLE SPESE 2017</t>
  </si>
  <si>
    <t>Iscrizione annuale Armesi</t>
  </si>
  <si>
    <t>Effra</t>
  </si>
  <si>
    <t xml:space="preserve">Rinnovo dominio Icoor.it e icoor.org </t>
  </si>
  <si>
    <t>Imposta di bollo (25,20 per 4 estratti conti per due conti)</t>
  </si>
  <si>
    <t>Iscrizione REA -  camera di commercio Bologna</t>
  </si>
  <si>
    <t>accantonamento a pareggio</t>
  </si>
  <si>
    <t>Ripartizione avanzo 2016</t>
  </si>
  <si>
    <t>Ripartizione avanzo 2016 - quota disponibile</t>
  </si>
  <si>
    <t>3% dal Poliba per Aeolix, Nemo e Optitruck</t>
  </si>
  <si>
    <t>da Poliba per Ertico pregresso</t>
  </si>
  <si>
    <t xml:space="preserve">Rimborsi diversi perCON FERENZA MATHEMATICAL OPTIMIZATION </t>
  </si>
  <si>
    <t>da Polimi per Iva Ertico</t>
  </si>
  <si>
    <t>da UNIBO per Ertico pregresso</t>
  </si>
  <si>
    <t>restituzione fondi Gestione Icoor 2016 su Value Team (presi da residuo COST)</t>
  </si>
  <si>
    <t>da unimore per Iva Ertico</t>
  </si>
  <si>
    <t>avanzo progetto COST</t>
  </si>
  <si>
    <t>Da Ertico per pre-finanziamento Optitruck</t>
  </si>
  <si>
    <t>Da Ertico per pre-finanziamento Nemo II installement</t>
  </si>
  <si>
    <t>liquidità progetti</t>
  </si>
  <si>
    <t>4/2017</t>
  </si>
  <si>
    <t>5/2017</t>
  </si>
  <si>
    <t>6/2017</t>
  </si>
  <si>
    <t>7/2017</t>
  </si>
  <si>
    <t>trasferimento cassa per investimento</t>
  </si>
  <si>
    <t>PREVISIONI 2017</t>
  </si>
  <si>
    <t>BONIFICO A VOSTRO FAVORE BONIFICO SEPA DA  ELECTRICITE DE FRANCE PER  FAC PRE 773897 PLAN4  Date    Tel cf. adresse mail TRN 1001173178021356</t>
  </si>
  <si>
    <t>MANDATI DI PAGAMENTO O.C. UNIVERSITA  STUDI TRIESTE M. 0012986 0000001 CUP J92F17000290005 Generico Uscita - rimborso IVA  Ertico 2017 - 09/10/2017 - rimborso IVA su quota Ertico 2017 - 2017</t>
  </si>
  <si>
    <t>BONIFICO A VOSTRO FAVORE BONIFICO SEPA DA  INSTITUTE OF COMMUNICATION PER  THE PREFINANCING PAYMENT ELVITEN - 769926 TRN 1001173328025212</t>
  </si>
  <si>
    <t>BONIFICO A VOSTRO FAVORE BONIFICO SEPA DA  UNIVERSITA DEGLI STUDI DI CAGLIARI PER  MAND.0017356 QUOTA ASSOCIATIVA CONS ORZIO ICOOR - PROF.SSA PAOLA ZUDDAS TRN 1001173498064314</t>
  </si>
  <si>
    <t>COMPETENZE (INTERESSI/ONERI)</t>
  </si>
  <si>
    <r>
      <t xml:space="preserve">DISPOSIZIONE PER GIROCONTO BONIFICO SEPA DA  CONSORZIO INTERUNIVERSITARIO PER L PER  SALDO CONTO CORRENTE COST </t>
    </r>
    <r>
      <rPr>
        <sz val="12"/>
        <color indexed="10"/>
        <rFont val="Arial"/>
        <family val="2"/>
      </rPr>
      <t>(per la distribuzione vedere lo schema del COST)</t>
    </r>
  </si>
  <si>
    <r>
      <t xml:space="preserve">RESTITUZIONE DEI FONDI GESTIONE ORDINARIA 2016 DAL RESIDUO DEL PROGETTO COST  (li avevo presi da value team, meglio prenderli da avanzo COST) </t>
    </r>
    <r>
      <rPr>
        <sz val="12"/>
        <color indexed="10"/>
        <rFont val="Arial"/>
        <family val="2"/>
      </rPr>
      <t xml:space="preserve"> (mail Mauro 16/08/17)</t>
    </r>
  </si>
  <si>
    <t>UNIVERSITA' DI CAGLIARI</t>
  </si>
  <si>
    <t>ELVITEN</t>
  </si>
  <si>
    <t>PLAN4RES</t>
  </si>
  <si>
    <t>PAGAMENTO DELEGHE F23/F24 PRENOTATE PAGAMENTO FISCO/INPS/REGIONI</t>
  </si>
  <si>
    <t>DISPOSIZIONE DI BONIFICO BONIFICO SEPA A  MAURO DELL AMICO PER  RIMBORSO SPESE PER RINNOVO HOSTING ARUBA SITO ICOOR.IT TRN 1201172950002787</t>
  </si>
  <si>
    <t>IMPRENDO ONE EDIZIONE 1  COSTO FISSO MESE DI OTTOBRE 2017</t>
  </si>
  <si>
    <t>DISPOSIZIONE DI BONIFICO BONIFICO SEPA A  FEDERICO MALUCELLI PER  RIMBORSO SPESE NOTARILI PER PRESENT AZIONE PROGETTO CLUSTER TRN 1101173210058896</t>
  </si>
  <si>
    <t>DISPOSIZIONE DI BONIFICO BONIFICO SEPA A  EFFRA PER  MEMBERSHIP FEE R5 - VS. INVOICE 100 170 DEL 14/07/2017 TRN 1101173320106660</t>
  </si>
  <si>
    <t>DISPOSIZIONE DI BONIFICO BONIFICO SEPA A  FEDERICO MALUCELLI PER  RIMBORSO RACCOMANDATA DOCUMENTI PER  PRESENTAZIONE PROGETTO PON TRN 1101173320107347</t>
  </si>
  <si>
    <t>IMPRENDO ONE EDIZIONE 1  COSTO FISSO MESE DI NOVEMBRE 2017</t>
  </si>
  <si>
    <t>PAGAMENTO DELEGHE F23/F24 PRENOTATE PAGAMENTO FISCO/INPS/REGIONI (CATTANI)</t>
  </si>
  <si>
    <t>DISPOSIZIONE DI BONIFICO BONIFICO SEPA A  CONSORZIO INTERUN. PER OTTIMIZZAZIO PER  GIROCONTO COMM              5,54 SPESE              0,00 TRN 1101171080244887  100505,54</t>
  </si>
  <si>
    <t>UNIVERSITA' DI PISA</t>
  </si>
  <si>
    <t>EFFRA</t>
  </si>
  <si>
    <t>28.11.17</t>
  </si>
  <si>
    <t>errato</t>
  </si>
  <si>
    <t>versato</t>
  </si>
  <si>
    <t>13.11.2017</t>
  </si>
  <si>
    <t>corretto</t>
  </si>
  <si>
    <t>diff unipisa da versare</t>
  </si>
  <si>
    <t>COSTO CONTO MESE DI APRILE 2017</t>
  </si>
  <si>
    <t>PRIVATA LEASING</t>
  </si>
  <si>
    <t>COSTO CONTO MESE DI MAGGIO 2017</t>
  </si>
  <si>
    <t>COSTO CONTO MESE DI GIUGNO 2017</t>
  </si>
  <si>
    <t>COSTO CONTO MESE DI LUGLIO 2017</t>
  </si>
  <si>
    <t>COSTO CONTO MESE DIAGOSTO 2017</t>
  </si>
  <si>
    <t>COSTO CONTO MESE DI SETTEMBRE 2017</t>
  </si>
  <si>
    <t>COSTO CONTO MESE DI OTTOBRE 2017</t>
  </si>
  <si>
    <t>COSTO CONTO MESE DI NOVEMBRE 2017</t>
  </si>
  <si>
    <t>RECUPERO BOLLI FISCALI</t>
  </si>
  <si>
    <t>BOLLO EX ART13 COMMA 2TER</t>
  </si>
  <si>
    <t>8/2017</t>
  </si>
  <si>
    <t>9/2017</t>
  </si>
  <si>
    <t>10/2017</t>
  </si>
  <si>
    <t>A UNIPI PER FINANZIAMENTO PLAN4RES (AL LORDO DEL 3%)</t>
  </si>
  <si>
    <t>11/2017</t>
  </si>
  <si>
    <t>12/2017</t>
  </si>
  <si>
    <t>A UNIMORE PER FINANZIAMENTO PLAN4RES (AL LORDO DEL 3%)</t>
  </si>
  <si>
    <t>A POLIMI PER FINANZIAMENTO ELVITEN (AL LORDO DEL 3%)</t>
  </si>
  <si>
    <t>A UNITS PER FINANZIAMENTO ELVITEN (AL LORDO DEL 3%)</t>
  </si>
  <si>
    <t>A POLIBA PER FINANZIAMENTO ELVITEN (AL LORDO DEL 3%)</t>
  </si>
  <si>
    <t>A UNIMORE PER FINANZIAMENTO ELVITEN (AL LORDO DEL 3%)</t>
  </si>
  <si>
    <t>13/2017</t>
  </si>
  <si>
    <t>14/2017</t>
  </si>
  <si>
    <t>15/2017</t>
  </si>
  <si>
    <t>16/2017</t>
  </si>
  <si>
    <t>DA TRASFERIMENTO PLAN4RES RECUPERO3% SU 1 VERSAMENTO</t>
  </si>
  <si>
    <t>DA TRASFERIMENTO ELVITEN RECUPERO3% SU 1 VERSAMENTO</t>
  </si>
  <si>
    <t>DISPOSIZIONE DI BONIFICO BONIFICO SEPA A  UNIVERSITA  DI PISA PER  PRIMO ANTICIPO PROGETTO PLAN4RES COMM          RECUPERO 3%</t>
  </si>
  <si>
    <t>DISPOSIZIONE DI BONIFICO BONIFICO SEPA A  TESORERIA DELLO STATO PER  201217++2 RATA AEOLIX++CONSORZIO IN TERUN.OTTIMIZZ. RECUPERO 3%</t>
  </si>
  <si>
    <t>DISPOSIZIONE DI BONIFICO BONIFICO SEPA A  TESORERIA DELLO STATO PER  201217++3 RATA PREFINANZIAMENTO AEO LIX++CONSORZIO INTERUN.OTTIMIZZ. RECUPERO 3%</t>
  </si>
  <si>
    <t>DISPOSIZIONE DI BONIFICO BONIFICO SEPA A  TESORERIA DELLO STATO PER  201217++1 RATA PREFINANZIAMENTO ELV ITEN++CONSORZIO INTERUN.OTTIMIZZ. RECUPERO 3%</t>
  </si>
  <si>
    <t>ricalcolare (REFUSO)</t>
  </si>
  <si>
    <t>COMPENSO REVISORE 2017</t>
  </si>
  <si>
    <t>COMPENSO DOTT.SSA CATTANI II SEM 2017</t>
  </si>
  <si>
    <t>COMPENSO ATTIVITA' 2017</t>
  </si>
  <si>
    <t>DISPOSIZIONE DI BONIFICO BONIFICO SEPA A  TESORERIA DELLO STATO PER  201217++2 RATA AEOLIX++CONSORZIO IN TERUN.OTTIMIZZ.COMM 5,54</t>
  </si>
  <si>
    <t>DISPOSIZIONE DI BONIFICO BONIFICO SEPA A  TESORERIA DELLO STATO PER  201217++3 RATA PREFINANZIAMENTO AEO LIX++CONSORZIO INTERUN.OTTIMIZZ. COMM 5,54</t>
  </si>
  <si>
    <t>DISPOSIZIONE DI BONIFICO BONIFICO SEPA A  TESORERIA DELLO STATO PER  201217++1 RATA PREFINANZIAMENTO ELV ITEN++CONSORZIO INTERUN.OTTIMIZZ. COMM 5,54</t>
  </si>
  <si>
    <t>PAGAMENTI DIVERSI FAV UNIMORE 1 RATA PERFINANZIAMENTO PLAN4RES COMM 2,00</t>
  </si>
  <si>
    <t>PAGAMENTI DIVERSI ADD FAV UNIMORE 1 RATA PREFINANZIAMENTO ELVITEN COMM 2,00</t>
  </si>
  <si>
    <t>COMMISSIONI BANCARIE TRASFERIMENTO POLIBA 1 RATA AEOLIX/NEMO/OPTITRUCK 13/02/2017</t>
  </si>
  <si>
    <t>COMMISSIONI BANCARIE TRASFERIMENTO UNIPI 1 RATA PLAN4RES 17/11/2017</t>
  </si>
  <si>
    <t>COMMISSIONI BANCARIE TRASFERIMENTO UNIPI SALDO 1 RATA PLAN4RES 17/11/2017</t>
  </si>
  <si>
    <t>DISPOSIZIONE DI BONIFICO BONIFICO SEPA A  UNIVERSITA  DI PISA PER  PRIMO ANTICIPO PROGETTO PLAN4RES COMM     5,54 SPESE                       AL LORDO DEL 3%</t>
  </si>
  <si>
    <t>DISPOSIZIONE DI BONIFICO BONIFICO SEPA A  UNIVERSITA  DI PISA PER  SALDO 1 RATA PLAN4RES COMM              5,54 SPESE             AL LORDO DEL 3%</t>
  </si>
  <si>
    <t>COMMISSIONI BANCARIE TRASFERIMENTO POLIBA 2RATA AEOLIX 20/12/2017</t>
  </si>
  <si>
    <t>COMMISSIONI BANCARIE TRASFERIMENTO POLIBA 3RATA AEOLIX 20/12/2017</t>
  </si>
  <si>
    <t>COMMISSIONI BANCARIE TRASFERIMENTO POLIBA 1RATA ELVITEN 20/12/2017</t>
  </si>
  <si>
    <t>COMMISSIONI BANCARIE TRASFERIMENTO UNIMORE 1RATA ELVITEN 20/12/2017</t>
  </si>
  <si>
    <t>COMMISSIONI BANCARIE TRASFERIMENTO UNIMORE 1RATA PLAN4RES 20/12/2017</t>
  </si>
  <si>
    <t>F.E.1.01.06 Totale</t>
  </si>
  <si>
    <t>F.E.1.03.01 Totale</t>
  </si>
  <si>
    <t>F.E.1.04.02 Totale</t>
  </si>
  <si>
    <t>F.E.2.06.04 Totale</t>
  </si>
  <si>
    <t>F.E.3.08.02 Totale</t>
  </si>
  <si>
    <t>Totale complessivo</t>
  </si>
  <si>
    <t>F.S.1.01.01 Totale</t>
  </si>
  <si>
    <t>F.S.1.01.02 Totale</t>
  </si>
  <si>
    <t>F.S.1.02.01 Totale</t>
  </si>
  <si>
    <t>F.S.1.02.03 Totale</t>
  </si>
  <si>
    <t>F.S.1.03.03 Totale</t>
  </si>
  <si>
    <t>F.S.1.03.11 Totale</t>
  </si>
  <si>
    <t>F.S.1.04.02 Totale</t>
  </si>
  <si>
    <t>F.S.1.05.01 Totale</t>
  </si>
  <si>
    <t>F.S.1.06.01 Totale</t>
  </si>
  <si>
    <t>F.S.1.08.02 Totale</t>
  </si>
  <si>
    <t>F.S.2.09.04 Totale</t>
  </si>
  <si>
    <t>F.S.3.09.02 Totale</t>
  </si>
  <si>
    <t>F.S.3.09.04 Totale</t>
  </si>
  <si>
    <t>RESIDUI ATTIVI ANCORA DA INCASSARE</t>
  </si>
  <si>
    <t>ACCERTAMENTI ANCORA DA INCASSARE</t>
  </si>
  <si>
    <t>IMPRENDO ONE EDIZIONE 1  COSTO FISSO MESE DI DICEMBRE 2017</t>
  </si>
  <si>
    <t>Avanzo di cassa al 31/12/2017</t>
  </si>
  <si>
    <t>17/2017</t>
  </si>
  <si>
    <t>18/2017</t>
  </si>
  <si>
    <t>Da ELECTRICITE DE FRANCE pre-finanziamento PLAN4RES</t>
  </si>
  <si>
    <t>Da INSTITUTE OF COMMUNICATION pre-finanziamento ELVITEN</t>
  </si>
  <si>
    <t xml:space="preserve">da Poliba e Trieste per Iva Ertico </t>
  </si>
  <si>
    <t>3% da UNIPI per PLAN4RES</t>
  </si>
  <si>
    <t>3% da POLIBA PER AEOLIX e ELVITEN</t>
  </si>
  <si>
    <t>3% da progetti</t>
  </si>
  <si>
    <t>3% da UNIMORE PER PLAN4RES e ELVITEN (ACCERTATI)</t>
  </si>
  <si>
    <t>da UNIVERSITA' DI CAGLIARI QUOTA ASSOCIATIVA</t>
  </si>
  <si>
    <t>Assestamento partite di giro</t>
  </si>
  <si>
    <t>DOPPIO VERSAMENTO IRPEF SACCANI E GRAZIOSI</t>
  </si>
  <si>
    <t>DA ERARIO</t>
  </si>
  <si>
    <t>check</t>
  </si>
  <si>
    <t>ABBIAMO ISCRITTO AL BP 2018</t>
  </si>
  <si>
    <t>c/c nuovo per liquidità AL 31122017</t>
  </si>
  <si>
    <t>CHECK</t>
  </si>
  <si>
    <t>FE</t>
  </si>
  <si>
    <t>FS</t>
  </si>
  <si>
    <t>DIFF.</t>
  </si>
  <si>
    <t>AVANZO  DI AMMINISTRAZIONE AL 31/12/2017</t>
  </si>
  <si>
    <t>AVANZO DI AMMINISTRAZIONE 2017</t>
  </si>
  <si>
    <t>DIMOSTRAZIONE AVANZO DI AMMINISTRAZIONE 2017</t>
  </si>
  <si>
    <t>AVANZO DI CASSA 2017</t>
  </si>
  <si>
    <t>FONDO DI CASSA AL 31/12/2017</t>
  </si>
  <si>
    <t>TOTALI LIQUIDI IN BANCA AL 31/12/2017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</si>
</sst>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0.00;[Red]0.00"/>
    <numFmt numFmtId="166" formatCode="#,##0.00_ ;[Red]\-#,##0.00\ "/>
    <numFmt numFmtId="167" formatCode="&quot;€&quot;\ #,##0.00"/>
    <numFmt numFmtId="168" formatCode="dd/mm/yy;@"/>
    <numFmt numFmtId="169" formatCode="mmm\-yyyy"/>
    <numFmt numFmtId="170" formatCode="[$-410]dddd\ d\ mmmm\ yyyy"/>
    <numFmt numFmtId="171" formatCode="h\.mm\.ss"/>
    <numFmt numFmtId="172" formatCode="#,##0.00_ ;\-#,##0.00\ "/>
    <numFmt numFmtId="173" formatCode="[$€-2]\ #.##000_);[Red]\([$€-2]\ #.##000\)"/>
    <numFmt numFmtId="174" formatCode="[$€-2]\ #,##0.00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_-[$€-410]\ * #,##0.00_-;\-[$€-410]\ * #,##0.00_-;_-[$€-410]\ * &quot;-&quot;??_-;_-@_-"/>
    <numFmt numFmtId="183" formatCode="_-&quot;€&quot;\ * #,##0.000_-;\-&quot;€&quot;\ * #,##0.000_-;_-&quot;€&quot;\ * &quot;-&quot;??_-;_-@_-"/>
    <numFmt numFmtId="184" formatCode="_-&quot;€&quot;\ * #,##0.000_-;\-&quot;€&quot;\ * #,##0.000_-;_-&quot;€&quot;\ * &quot;-&quot;???_-;_-@_-"/>
    <numFmt numFmtId="185" formatCode="0.000"/>
    <numFmt numFmtId="186" formatCode="0.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63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  <font>
      <strike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BB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30" borderId="4" applyNumberFormat="0" applyFont="0" applyAlignment="0" applyProtection="0"/>
    <xf numFmtId="0" fontId="53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3" borderId="10" applyNumberFormat="0" applyProtection="0">
      <alignment horizontal="left"/>
    </xf>
    <xf numFmtId="0" fontId="24" fillId="33" borderId="11" applyNumberFormat="0" applyProtection="0">
      <alignment horizontal="left"/>
    </xf>
    <xf numFmtId="0" fontId="24" fillId="33" borderId="11" applyNumberFormat="0" applyProtection="0">
      <alignment horizontal="left"/>
    </xf>
    <xf numFmtId="173" fontId="24" fillId="33" borderId="11" applyProtection="0">
      <alignment horizontal="right"/>
    </xf>
    <xf numFmtId="173" fontId="24" fillId="33" borderId="11" applyProtection="0">
      <alignment horizontal="right"/>
    </xf>
    <xf numFmtId="173" fontId="24" fillId="33" borderId="11" applyProtection="0">
      <alignment horizontal="right"/>
    </xf>
    <xf numFmtId="14" fontId="24" fillId="33" borderId="11" applyProtection="0">
      <alignment horizontal="left"/>
    </xf>
    <xf numFmtId="0" fontId="23" fillId="33" borderId="11" applyNumberFormat="0" applyProtection="0">
      <alignment horizontal="left"/>
    </xf>
    <xf numFmtId="0" fontId="24" fillId="34" borderId="11" applyNumberFormat="0" applyProtection="0">
      <alignment horizontal="left"/>
    </xf>
    <xf numFmtId="173" fontId="23" fillId="33" borderId="11" applyProtection="0">
      <alignment horizontal="right"/>
    </xf>
    <xf numFmtId="173" fontId="24" fillId="34" borderId="11" applyProtection="0">
      <alignment horizontal="right"/>
    </xf>
    <xf numFmtId="14" fontId="23" fillId="33" borderId="11" applyProtection="0">
      <alignment horizontal="left"/>
    </xf>
    <xf numFmtId="14" fontId="24" fillId="34" borderId="11" applyProtection="0">
      <alignment horizontal="left"/>
    </xf>
    <xf numFmtId="14" fontId="23" fillId="33" borderId="11" applyProtection="0">
      <alignment horizontal="left"/>
    </xf>
  </cellStyleXfs>
  <cellXfs count="6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1" fillId="0" borderId="15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top"/>
    </xf>
    <xf numFmtId="0" fontId="8" fillId="0" borderId="18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" fontId="5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19" fillId="35" borderId="0" xfId="0" applyFont="1" applyFill="1" applyAlignment="1">
      <alignment wrapText="1"/>
    </xf>
    <xf numFmtId="0" fontId="19" fillId="36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2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3" xfId="0" applyFont="1" applyBorder="1" applyAlignment="1">
      <alignment horizontal="right"/>
    </xf>
    <xf numFmtId="0" fontId="8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/>
    </xf>
    <xf numFmtId="0" fontId="4" fillId="0" borderId="26" xfId="0" applyFont="1" applyFill="1" applyBorder="1" applyAlignment="1">
      <alignment vertical="center"/>
    </xf>
    <xf numFmtId="0" fontId="3" fillId="0" borderId="25" xfId="0" applyFont="1" applyBorder="1" applyAlignment="1">
      <alignment horizontal="right"/>
    </xf>
    <xf numFmtId="4" fontId="5" fillId="0" borderId="27" xfId="0" applyNumberFormat="1" applyFont="1" applyFill="1" applyBorder="1" applyAlignment="1">
      <alignment horizontal="right" vertical="top" wrapText="1"/>
    </xf>
    <xf numFmtId="0" fontId="5" fillId="35" borderId="28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4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44" fontId="2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5" fillId="0" borderId="17" xfId="0" applyNumberFormat="1" applyFont="1" applyFill="1" applyBorder="1" applyAlignment="1">
      <alignment horizontal="right" vertical="top" wrapText="1"/>
    </xf>
    <xf numFmtId="166" fontId="5" fillId="0" borderId="29" xfId="0" applyNumberFormat="1" applyFont="1" applyFill="1" applyBorder="1" applyAlignment="1">
      <alignment horizontal="right" vertical="top" wrapText="1"/>
    </xf>
    <xf numFmtId="166" fontId="5" fillId="0" borderId="18" xfId="0" applyNumberFormat="1" applyFont="1" applyFill="1" applyBorder="1" applyAlignment="1">
      <alignment horizontal="right" vertical="top" wrapText="1"/>
    </xf>
    <xf numFmtId="166" fontId="5" fillId="0" borderId="30" xfId="0" applyNumberFormat="1" applyFont="1" applyFill="1" applyBorder="1" applyAlignment="1">
      <alignment horizontal="right" vertical="top" wrapText="1"/>
    </xf>
    <xf numFmtId="166" fontId="5" fillId="0" borderId="31" xfId="0" applyNumberFormat="1" applyFont="1" applyFill="1" applyBorder="1" applyAlignment="1">
      <alignment horizontal="right" vertical="top" wrapText="1"/>
    </xf>
    <xf numFmtId="166" fontId="4" fillId="0" borderId="32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 vertical="center"/>
    </xf>
    <xf numFmtId="166" fontId="15" fillId="0" borderId="18" xfId="0" applyNumberFormat="1" applyFont="1" applyFill="1" applyBorder="1" applyAlignment="1">
      <alignment vertical="center"/>
    </xf>
    <xf numFmtId="166" fontId="15" fillId="0" borderId="30" xfId="0" applyNumberFormat="1" applyFont="1" applyFill="1" applyBorder="1" applyAlignment="1">
      <alignment vertical="center"/>
    </xf>
    <xf numFmtId="166" fontId="15" fillId="0" borderId="31" xfId="0" applyNumberFormat="1" applyFont="1" applyFill="1" applyBorder="1" applyAlignment="1">
      <alignment vertical="center"/>
    </xf>
    <xf numFmtId="166" fontId="5" fillId="0" borderId="29" xfId="0" applyNumberFormat="1" applyFont="1" applyFill="1" applyBorder="1" applyAlignment="1">
      <alignment vertical="center"/>
    </xf>
    <xf numFmtId="166" fontId="5" fillId="0" borderId="33" xfId="0" applyNumberFormat="1" applyFont="1" applyFill="1" applyBorder="1" applyAlignment="1">
      <alignment vertical="center"/>
    </xf>
    <xf numFmtId="166" fontId="5" fillId="0" borderId="30" xfId="0" applyNumberFormat="1" applyFont="1" applyFill="1" applyBorder="1" applyAlignment="1">
      <alignment horizontal="right" wrapText="1"/>
    </xf>
    <xf numFmtId="166" fontId="5" fillId="0" borderId="31" xfId="0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center" vertical="top" wrapText="1"/>
    </xf>
    <xf numFmtId="166" fontId="9" fillId="0" borderId="31" xfId="0" applyNumberFormat="1" applyFont="1" applyFill="1" applyBorder="1" applyAlignment="1">
      <alignment horizontal="center" vertical="top" wrapText="1"/>
    </xf>
    <xf numFmtId="166" fontId="5" fillId="0" borderId="18" xfId="0" applyNumberFormat="1" applyFont="1" applyFill="1" applyBorder="1" applyAlignment="1">
      <alignment vertical="center"/>
    </xf>
    <xf numFmtId="166" fontId="4" fillId="0" borderId="33" xfId="0" applyNumberFormat="1" applyFont="1" applyFill="1" applyBorder="1" applyAlignment="1">
      <alignment horizontal="right"/>
    </xf>
    <xf numFmtId="166" fontId="5" fillId="0" borderId="30" xfId="0" applyNumberFormat="1" applyFont="1" applyFill="1" applyBorder="1" applyAlignment="1">
      <alignment vertical="center"/>
    </xf>
    <xf numFmtId="166" fontId="5" fillId="0" borderId="31" xfId="0" applyNumberFormat="1" applyFont="1" applyFill="1" applyBorder="1" applyAlignment="1">
      <alignment vertical="center"/>
    </xf>
    <xf numFmtId="166" fontId="2" fillId="0" borderId="30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0" fontId="5" fillId="0" borderId="3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35" borderId="35" xfId="0" applyNumberFormat="1" applyFont="1" applyFill="1" applyBorder="1" applyAlignment="1">
      <alignment horizontal="center" vertical="center" wrapText="1"/>
    </xf>
    <xf numFmtId="4" fontId="7" fillId="35" borderId="36" xfId="0" applyNumberFormat="1" applyFont="1" applyFill="1" applyBorder="1" applyAlignment="1">
      <alignment horizontal="center" vertical="center" wrapText="1"/>
    </xf>
    <xf numFmtId="4" fontId="7" fillId="35" borderId="37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top" wrapText="1"/>
    </xf>
    <xf numFmtId="166" fontId="2" fillId="0" borderId="29" xfId="0" applyNumberFormat="1" applyFont="1" applyFill="1" applyBorder="1" applyAlignment="1">
      <alignment horizontal="center" vertical="top" wrapText="1"/>
    </xf>
    <xf numFmtId="166" fontId="2" fillId="0" borderId="33" xfId="0" applyNumberFormat="1" applyFont="1" applyFill="1" applyBorder="1" applyAlignment="1">
      <alignment horizontal="center" vertical="top" wrapText="1"/>
    </xf>
    <xf numFmtId="166" fontId="11" fillId="0" borderId="31" xfId="0" applyNumberFormat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top" wrapText="1"/>
    </xf>
    <xf numFmtId="166" fontId="9" fillId="0" borderId="38" xfId="0" applyNumberFormat="1" applyFont="1" applyFill="1" applyBorder="1" applyAlignment="1">
      <alignment horizontal="center" vertical="top" wrapText="1"/>
    </xf>
    <xf numFmtId="166" fontId="9" fillId="0" borderId="32" xfId="0" applyNumberFormat="1" applyFont="1" applyFill="1" applyBorder="1" applyAlignment="1">
      <alignment horizontal="center" vertical="top" wrapText="1"/>
    </xf>
    <xf numFmtId="166" fontId="5" fillId="0" borderId="18" xfId="0" applyNumberFormat="1" applyFont="1" applyFill="1" applyBorder="1" applyAlignment="1">
      <alignment horizontal="right" wrapText="1"/>
    </xf>
    <xf numFmtId="166" fontId="9" fillId="0" borderId="30" xfId="0" applyNumberFormat="1" applyFont="1" applyFill="1" applyBorder="1" applyAlignment="1">
      <alignment horizontal="center" vertical="top" wrapText="1"/>
    </xf>
    <xf numFmtId="166" fontId="4" fillId="0" borderId="39" xfId="0" applyNumberFormat="1" applyFont="1" applyFill="1" applyBorder="1" applyAlignment="1">
      <alignment/>
    </xf>
    <xf numFmtId="166" fontId="4" fillId="0" borderId="31" xfId="0" applyNumberFormat="1" applyFont="1" applyFill="1" applyBorder="1" applyAlignment="1">
      <alignment horizontal="right"/>
    </xf>
    <xf numFmtId="166" fontId="5" fillId="0" borderId="30" xfId="0" applyNumberFormat="1" applyFont="1" applyFill="1" applyBorder="1" applyAlignment="1">
      <alignment/>
    </xf>
    <xf numFmtId="0" fontId="2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44" fontId="0" fillId="0" borderId="38" xfId="0" applyNumberFormat="1" applyFont="1" applyFill="1" applyBorder="1" applyAlignment="1">
      <alignment/>
    </xf>
    <xf numFmtId="0" fontId="20" fillId="35" borderId="40" xfId="0" applyFont="1" applyFill="1" applyBorder="1" applyAlignment="1">
      <alignment wrapText="1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44" fontId="0" fillId="37" borderId="38" xfId="0" applyNumberFormat="1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5" fillId="37" borderId="18" xfId="0" applyFont="1" applyFill="1" applyBorder="1" applyAlignment="1">
      <alignment horizontal="left"/>
    </xf>
    <xf numFmtId="164" fontId="7" fillId="35" borderId="37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11" fillId="0" borderId="4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Fill="1" applyBorder="1" applyAlignment="1">
      <alignment vertical="center"/>
    </xf>
    <xf numFmtId="166" fontId="4" fillId="0" borderId="18" xfId="0" applyNumberFormat="1" applyFont="1" applyFill="1" applyBorder="1" applyAlignment="1">
      <alignment horizontal="right"/>
    </xf>
    <xf numFmtId="166" fontId="4" fillId="0" borderId="30" xfId="0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 vertical="top" wrapText="1"/>
    </xf>
    <xf numFmtId="4" fontId="5" fillId="0" borderId="43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vertical="top"/>
    </xf>
    <xf numFmtId="4" fontId="5" fillId="0" borderId="30" xfId="0" applyNumberFormat="1" applyFont="1" applyFill="1" applyBorder="1" applyAlignment="1">
      <alignment vertical="top"/>
    </xf>
    <xf numFmtId="4" fontId="12" fillId="0" borderId="18" xfId="0" applyNumberFormat="1" applyFont="1" applyFill="1" applyBorder="1" applyAlignment="1">
      <alignment vertical="center"/>
    </xf>
    <xf numFmtId="4" fontId="12" fillId="0" borderId="30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15" fillId="0" borderId="31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2" fillId="0" borderId="0" xfId="0" applyFont="1" applyFill="1" applyAlignment="1">
      <alignment/>
    </xf>
    <xf numFmtId="166" fontId="5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41" xfId="0" applyFont="1" applyFill="1" applyBorder="1" applyAlignment="1">
      <alignment/>
    </xf>
    <xf numFmtId="4" fontId="0" fillId="0" borderId="0" xfId="0" applyNumberFormat="1" applyFont="1" applyAlignment="1">
      <alignment/>
    </xf>
    <xf numFmtId="44" fontId="0" fillId="0" borderId="38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44" xfId="0" applyFont="1" applyFill="1" applyBorder="1" applyAlignment="1">
      <alignment/>
    </xf>
    <xf numFmtId="0" fontId="20" fillId="38" borderId="14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20" fillId="38" borderId="45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8" fontId="0" fillId="38" borderId="45" xfId="0" applyNumberFormat="1" applyFont="1" applyFill="1" applyBorder="1" applyAlignment="1">
      <alignment/>
    </xf>
    <xf numFmtId="0" fontId="0" fillId="38" borderId="14" xfId="0" applyFont="1" applyFill="1" applyBorder="1" applyAlignment="1" quotePrefix="1">
      <alignment/>
    </xf>
    <xf numFmtId="167" fontId="0" fillId="38" borderId="45" xfId="0" applyNumberFormat="1" applyFont="1" applyFill="1" applyBorder="1" applyAlignment="1">
      <alignment/>
    </xf>
    <xf numFmtId="0" fontId="20" fillId="38" borderId="14" xfId="0" applyFont="1" applyFill="1" applyBorder="1" applyAlignment="1" quotePrefix="1">
      <alignment/>
    </xf>
    <xf numFmtId="0" fontId="20" fillId="38" borderId="0" xfId="0" applyFont="1" applyFill="1" applyBorder="1" applyAlignment="1">
      <alignment/>
    </xf>
    <xf numFmtId="8" fontId="20" fillId="38" borderId="45" xfId="0" applyNumberFormat="1" applyFont="1" applyFill="1" applyBorder="1" applyAlignment="1">
      <alignment/>
    </xf>
    <xf numFmtId="0" fontId="0" fillId="38" borderId="45" xfId="0" applyFont="1" applyFill="1" applyBorder="1" applyAlignment="1">
      <alignment/>
    </xf>
    <xf numFmtId="168" fontId="0" fillId="37" borderId="46" xfId="0" applyNumberFormat="1" applyFont="1" applyFill="1" applyBorder="1" applyAlignment="1">
      <alignment wrapText="1"/>
    </xf>
    <xf numFmtId="0" fontId="5" fillId="0" borderId="43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0" fillId="0" borderId="47" xfId="0" applyFont="1" applyBorder="1" applyAlignment="1">
      <alignment/>
    </xf>
    <xf numFmtId="44" fontId="20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 wrapText="1"/>
    </xf>
    <xf numFmtId="0" fontId="19" fillId="36" borderId="0" xfId="0" applyFont="1" applyFill="1" applyBorder="1" applyAlignment="1">
      <alignment wrapText="1"/>
    </xf>
    <xf numFmtId="44" fontId="19" fillId="36" borderId="0" xfId="0" applyNumberFormat="1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4" fontId="0" fillId="0" borderId="0" xfId="0" applyNumberFormat="1" applyFont="1" applyBorder="1" applyAlignment="1">
      <alignment/>
    </xf>
    <xf numFmtId="44" fontId="20" fillId="35" borderId="48" xfId="0" applyNumberFormat="1" applyFont="1" applyFill="1" applyBorder="1" applyAlignment="1">
      <alignment wrapText="1"/>
    </xf>
    <xf numFmtId="0" fontId="22" fillId="35" borderId="4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44" fontId="0" fillId="0" borderId="29" xfId="0" applyNumberFormat="1" applyFont="1" applyFill="1" applyBorder="1" applyAlignment="1">
      <alignment/>
    </xf>
    <xf numFmtId="0" fontId="0" fillId="37" borderId="29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4" fontId="20" fillId="0" borderId="0" xfId="0" applyNumberFormat="1" applyFont="1" applyFill="1" applyAlignment="1">
      <alignment/>
    </xf>
    <xf numFmtId="4" fontId="2" fillId="0" borderId="30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Fill="1" applyAlignment="1">
      <alignment/>
    </xf>
    <xf numFmtId="166" fontId="2" fillId="3" borderId="17" xfId="0" applyNumberFormat="1" applyFont="1" applyFill="1" applyBorder="1" applyAlignment="1">
      <alignment horizontal="center" vertical="top" wrapText="1"/>
    </xf>
    <xf numFmtId="166" fontId="11" fillId="3" borderId="18" xfId="0" applyNumberFormat="1" applyFont="1" applyFill="1" applyBorder="1" applyAlignment="1">
      <alignment horizontal="center" vertical="center" wrapText="1"/>
    </xf>
    <xf numFmtId="166" fontId="9" fillId="3" borderId="16" xfId="0" applyNumberFormat="1" applyFont="1" applyFill="1" applyBorder="1" applyAlignment="1">
      <alignment horizontal="center" vertical="top" wrapText="1"/>
    </xf>
    <xf numFmtId="166" fontId="2" fillId="3" borderId="18" xfId="0" applyNumberFormat="1" applyFont="1" applyFill="1" applyBorder="1" applyAlignment="1">
      <alignment vertical="center"/>
    </xf>
    <xf numFmtId="166" fontId="15" fillId="3" borderId="18" xfId="0" applyNumberFormat="1" applyFont="1" applyFill="1" applyBorder="1" applyAlignment="1">
      <alignment vertical="center"/>
    </xf>
    <xf numFmtId="166" fontId="5" fillId="3" borderId="18" xfId="0" applyNumberFormat="1" applyFont="1" applyFill="1" applyBorder="1" applyAlignment="1">
      <alignment horizontal="right" wrapText="1"/>
    </xf>
    <xf numFmtId="166" fontId="5" fillId="3" borderId="18" xfId="0" applyNumberFormat="1" applyFont="1" applyFill="1" applyBorder="1" applyAlignment="1">
      <alignment horizontal="right" vertical="top" wrapText="1"/>
    </xf>
    <xf numFmtId="166" fontId="5" fillId="3" borderId="18" xfId="0" applyNumberFormat="1" applyFont="1" applyFill="1" applyBorder="1" applyAlignment="1">
      <alignment vertical="center"/>
    </xf>
    <xf numFmtId="166" fontId="9" fillId="3" borderId="18" xfId="0" applyNumberFormat="1" applyFont="1" applyFill="1" applyBorder="1" applyAlignment="1">
      <alignment horizontal="center" vertical="top" wrapText="1"/>
    </xf>
    <xf numFmtId="166" fontId="4" fillId="3" borderId="18" xfId="0" applyNumberFormat="1" applyFont="1" applyFill="1" applyBorder="1" applyAlignment="1">
      <alignment horizontal="right"/>
    </xf>
    <xf numFmtId="166" fontId="5" fillId="3" borderId="17" xfId="0" applyNumberFormat="1" applyFont="1" applyFill="1" applyBorder="1" applyAlignment="1">
      <alignment horizontal="right" vertical="top" wrapText="1"/>
    </xf>
    <xf numFmtId="166" fontId="5" fillId="3" borderId="18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 horizontal="center" vertical="center" wrapText="1"/>
    </xf>
    <xf numFmtId="166" fontId="11" fillId="0" borderId="19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right" vertical="top" wrapText="1"/>
    </xf>
    <xf numFmtId="166" fontId="2" fillId="0" borderId="1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 quotePrefix="1">
      <alignment horizontal="right" wrapText="1"/>
    </xf>
    <xf numFmtId="166" fontId="5" fillId="0" borderId="19" xfId="0" applyNumberFormat="1" applyFont="1" applyFill="1" applyBorder="1" applyAlignment="1">
      <alignment horizontal="right" vertical="top" wrapText="1"/>
    </xf>
    <xf numFmtId="166" fontId="4" fillId="0" borderId="17" xfId="0" applyNumberFormat="1" applyFont="1" applyFill="1" applyBorder="1" applyAlignment="1">
      <alignment/>
    </xf>
    <xf numFmtId="166" fontId="5" fillId="0" borderId="27" xfId="0" applyNumberFormat="1" applyFont="1" applyFill="1" applyBorder="1" applyAlignment="1">
      <alignment horizontal="right" vertical="top" wrapText="1"/>
    </xf>
    <xf numFmtId="166" fontId="5" fillId="37" borderId="27" xfId="0" applyNumberFormat="1" applyFont="1" applyFill="1" applyBorder="1" applyAlignment="1">
      <alignment horizontal="right" vertical="top" wrapText="1"/>
    </xf>
    <xf numFmtId="0" fontId="5" fillId="0" borderId="42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44" fontId="20" fillId="35" borderId="50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vertical="top"/>
    </xf>
    <xf numFmtId="4" fontId="12" fillId="0" borderId="27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0" fontId="51" fillId="0" borderId="38" xfId="0" applyFont="1" applyFill="1" applyBorder="1" applyAlignment="1">
      <alignment horizontal="left"/>
    </xf>
    <xf numFmtId="0" fontId="51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4" fontId="0" fillId="0" borderId="0" xfId="0" applyNumberFormat="1" applyAlignment="1">
      <alignment/>
    </xf>
    <xf numFmtId="0" fontId="51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/>
    </xf>
    <xf numFmtId="0" fontId="20" fillId="35" borderId="53" xfId="0" applyFont="1" applyFill="1" applyBorder="1" applyAlignment="1">
      <alignment wrapText="1"/>
    </xf>
    <xf numFmtId="0" fontId="0" fillId="0" borderId="38" xfId="0" applyBorder="1" applyAlignment="1">
      <alignment/>
    </xf>
    <xf numFmtId="44" fontId="5" fillId="0" borderId="0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8" fontId="20" fillId="0" borderId="55" xfId="0" applyNumberFormat="1" applyFont="1" applyFill="1" applyBorder="1" applyAlignment="1">
      <alignment/>
    </xf>
    <xf numFmtId="44" fontId="20" fillId="0" borderId="55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0" fontId="0" fillId="0" borderId="40" xfId="0" applyFont="1" applyBorder="1" applyAlignment="1">
      <alignment/>
    </xf>
    <xf numFmtId="49" fontId="0" fillId="0" borderId="56" xfId="0" applyNumberFormat="1" applyFont="1" applyBorder="1" applyAlignment="1">
      <alignment/>
    </xf>
    <xf numFmtId="49" fontId="0" fillId="0" borderId="46" xfId="0" applyNumberFormat="1" applyFont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44" fontId="0" fillId="0" borderId="29" xfId="0" applyNumberFormat="1" applyFill="1" applyBorder="1" applyAlignment="1">
      <alignment/>
    </xf>
    <xf numFmtId="44" fontId="0" fillId="0" borderId="44" xfId="0" applyNumberFormat="1" applyFill="1" applyBorder="1" applyAlignment="1">
      <alignment/>
    </xf>
    <xf numFmtId="0" fontId="20" fillId="0" borderId="47" xfId="0" applyFont="1" applyFill="1" applyBorder="1" applyAlignment="1">
      <alignment/>
    </xf>
    <xf numFmtId="8" fontId="20" fillId="0" borderId="47" xfId="0" applyNumberFormat="1" applyFont="1" applyFill="1" applyBorder="1" applyAlignment="1">
      <alignment/>
    </xf>
    <xf numFmtId="44" fontId="20" fillId="0" borderId="47" xfId="0" applyNumberFormat="1" applyFont="1" applyFill="1" applyBorder="1" applyAlignment="1">
      <alignment/>
    </xf>
    <xf numFmtId="49" fontId="0" fillId="37" borderId="46" xfId="0" applyNumberFormat="1" applyFont="1" applyFill="1" applyBorder="1" applyAlignment="1">
      <alignment wrapText="1"/>
    </xf>
    <xf numFmtId="8" fontId="0" fillId="0" borderId="0" xfId="0" applyNumberFormat="1" applyFont="1" applyFill="1" applyBorder="1" applyAlignment="1">
      <alignment/>
    </xf>
    <xf numFmtId="44" fontId="20" fillId="0" borderId="0" xfId="64" applyFont="1" applyAlignment="1">
      <alignment/>
    </xf>
    <xf numFmtId="0" fontId="20" fillId="0" borderId="0" xfId="0" applyFont="1" applyBorder="1" applyAlignment="1">
      <alignment wrapText="1"/>
    </xf>
    <xf numFmtId="44" fontId="0" fillId="0" borderId="38" xfId="64" applyFont="1" applyBorder="1" applyAlignment="1">
      <alignment/>
    </xf>
    <xf numFmtId="44" fontId="0" fillId="0" borderId="38" xfId="64" applyFont="1" applyFill="1" applyBorder="1" applyAlignment="1">
      <alignment/>
    </xf>
    <xf numFmtId="44" fontId="0" fillId="0" borderId="38" xfId="64" applyFont="1" applyFill="1" applyBorder="1" applyAlignment="1">
      <alignment/>
    </xf>
    <xf numFmtId="44" fontId="0" fillId="0" borderId="29" xfId="64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0" fillId="0" borderId="58" xfId="0" applyNumberFormat="1" applyFont="1" applyBorder="1" applyAlignment="1">
      <alignment/>
    </xf>
    <xf numFmtId="0" fontId="17" fillId="0" borderId="5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 vertical="top"/>
    </xf>
    <xf numFmtId="4" fontId="5" fillId="0" borderId="31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top"/>
    </xf>
    <xf numFmtId="4" fontId="4" fillId="0" borderId="5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 horizontal="right" vertical="top"/>
    </xf>
    <xf numFmtId="4" fontId="5" fillId="0" borderId="19" xfId="0" applyNumberFormat="1" applyFont="1" applyFill="1" applyBorder="1" applyAlignment="1">
      <alignment horizontal="right" vertical="top"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5" fillId="0" borderId="45" xfId="0" applyNumberFormat="1" applyFont="1" applyFill="1" applyBorder="1" applyAlignment="1">
      <alignment vertical="top"/>
    </xf>
    <xf numFmtId="4" fontId="12" fillId="0" borderId="45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15" fillId="0" borderId="45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4" fontId="4" fillId="0" borderId="60" xfId="0" applyNumberFormat="1" applyFont="1" applyFill="1" applyBorder="1" applyAlignment="1">
      <alignment/>
    </xf>
    <xf numFmtId="4" fontId="4" fillId="0" borderId="61" xfId="0" applyNumberFormat="1" applyFont="1" applyFill="1" applyBorder="1" applyAlignment="1">
      <alignment/>
    </xf>
    <xf numFmtId="4" fontId="5" fillId="0" borderId="60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13" fillId="0" borderId="62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4" fontId="5" fillId="8" borderId="27" xfId="0" applyNumberFormat="1" applyFont="1" applyFill="1" applyBorder="1" applyAlignment="1">
      <alignment vertical="top"/>
    </xf>
    <xf numFmtId="4" fontId="5" fillId="8" borderId="18" xfId="0" applyNumberFormat="1" applyFont="1" applyFill="1" applyBorder="1" applyAlignment="1">
      <alignment vertical="top"/>
    </xf>
    <xf numFmtId="4" fontId="5" fillId="8" borderId="45" xfId="0" applyNumberFormat="1" applyFont="1" applyFill="1" applyBorder="1" applyAlignment="1">
      <alignment vertical="top"/>
    </xf>
    <xf numFmtId="4" fontId="12" fillId="8" borderId="27" xfId="0" applyNumberFormat="1" applyFont="1" applyFill="1" applyBorder="1" applyAlignment="1">
      <alignment vertical="center"/>
    </xf>
    <xf numFmtId="4" fontId="12" fillId="8" borderId="18" xfId="0" applyNumberFormat="1" applyFont="1" applyFill="1" applyBorder="1" applyAlignment="1">
      <alignment vertical="center"/>
    </xf>
    <xf numFmtId="4" fontId="12" fillId="8" borderId="45" xfId="0" applyNumberFormat="1" applyFont="1" applyFill="1" applyBorder="1" applyAlignment="1">
      <alignment vertical="center"/>
    </xf>
    <xf numFmtId="4" fontId="5" fillId="8" borderId="51" xfId="0" applyNumberFormat="1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4" fontId="5" fillId="8" borderId="60" xfId="0" applyNumberFormat="1" applyFont="1" applyFill="1" applyBorder="1" applyAlignment="1">
      <alignment/>
    </xf>
    <xf numFmtId="4" fontId="2" fillId="8" borderId="27" xfId="0" applyNumberFormat="1" applyFont="1" applyFill="1" applyBorder="1" applyAlignment="1">
      <alignment/>
    </xf>
    <xf numFmtId="4" fontId="2" fillId="8" borderId="18" xfId="0" applyNumberFormat="1" applyFont="1" applyFill="1" applyBorder="1" applyAlignment="1">
      <alignment/>
    </xf>
    <xf numFmtId="4" fontId="2" fillId="8" borderId="45" xfId="0" applyNumberFormat="1" applyFont="1" applyFill="1" applyBorder="1" applyAlignment="1">
      <alignment/>
    </xf>
    <xf numFmtId="4" fontId="15" fillId="8" borderId="27" xfId="0" applyNumberFormat="1" applyFont="1" applyFill="1" applyBorder="1" applyAlignment="1">
      <alignment/>
    </xf>
    <xf numFmtId="4" fontId="15" fillId="8" borderId="18" xfId="0" applyNumberFormat="1" applyFont="1" applyFill="1" applyBorder="1" applyAlignment="1">
      <alignment/>
    </xf>
    <xf numFmtId="4" fontId="15" fillId="8" borderId="45" xfId="0" applyNumberFormat="1" applyFont="1" applyFill="1" applyBorder="1" applyAlignment="1">
      <alignment/>
    </xf>
    <xf numFmtId="4" fontId="5" fillId="8" borderId="27" xfId="0" applyNumberFormat="1" applyFont="1" applyFill="1" applyBorder="1" applyAlignment="1">
      <alignment/>
    </xf>
    <xf numFmtId="4" fontId="5" fillId="8" borderId="18" xfId="0" applyNumberFormat="1" applyFont="1" applyFill="1" applyBorder="1" applyAlignment="1">
      <alignment/>
    </xf>
    <xf numFmtId="4" fontId="5" fillId="8" borderId="45" xfId="0" applyNumberFormat="1" applyFont="1" applyFill="1" applyBorder="1" applyAlignment="1">
      <alignment/>
    </xf>
    <xf numFmtId="4" fontId="4" fillId="8" borderId="51" xfId="0" applyNumberFormat="1" applyFont="1" applyFill="1" applyBorder="1" applyAlignment="1">
      <alignment/>
    </xf>
    <xf numFmtId="4" fontId="5" fillId="8" borderId="52" xfId="0" applyNumberFormat="1" applyFont="1" applyFill="1" applyBorder="1" applyAlignment="1">
      <alignment/>
    </xf>
    <xf numFmtId="4" fontId="4" fillId="8" borderId="52" xfId="0" applyNumberFormat="1" applyFont="1" applyFill="1" applyBorder="1" applyAlignment="1">
      <alignment/>
    </xf>
    <xf numFmtId="4" fontId="5" fillId="8" borderId="51" xfId="0" applyNumberFormat="1" applyFont="1" applyFill="1" applyBorder="1" applyAlignment="1">
      <alignment vertical="center"/>
    </xf>
    <xf numFmtId="4" fontId="5" fillId="8" borderId="16" xfId="0" applyNumberFormat="1" applyFont="1" applyFill="1" applyBorder="1" applyAlignment="1">
      <alignment vertical="center"/>
    </xf>
    <xf numFmtId="4" fontId="5" fillId="8" borderId="60" xfId="0" applyNumberFormat="1" applyFont="1" applyFill="1" applyBorder="1" applyAlignment="1">
      <alignment vertical="center"/>
    </xf>
    <xf numFmtId="4" fontId="5" fillId="8" borderId="27" xfId="0" applyNumberFormat="1" applyFont="1" applyFill="1" applyBorder="1" applyAlignment="1">
      <alignment vertical="center"/>
    </xf>
    <xf numFmtId="4" fontId="5" fillId="8" borderId="18" xfId="0" applyNumberFormat="1" applyFont="1" applyFill="1" applyBorder="1" applyAlignment="1">
      <alignment vertical="center"/>
    </xf>
    <xf numFmtId="4" fontId="5" fillId="8" borderId="45" xfId="0" applyNumberFormat="1" applyFont="1" applyFill="1" applyBorder="1" applyAlignment="1">
      <alignment vertical="center"/>
    </xf>
    <xf numFmtId="4" fontId="11" fillId="16" borderId="67" xfId="0" applyNumberFormat="1" applyFont="1" applyFill="1" applyBorder="1" applyAlignment="1">
      <alignment/>
    </xf>
    <xf numFmtId="0" fontId="11" fillId="16" borderId="68" xfId="0" applyFont="1" applyFill="1" applyBorder="1" applyAlignment="1">
      <alignment horizontal="right" vertical="center"/>
    </xf>
    <xf numFmtId="0" fontId="5" fillId="16" borderId="28" xfId="0" applyFont="1" applyFill="1" applyBorder="1" applyAlignment="1">
      <alignment horizontal="center" vertical="center"/>
    </xf>
    <xf numFmtId="4" fontId="5" fillId="16" borderId="36" xfId="0" applyNumberFormat="1" applyFont="1" applyFill="1" applyBorder="1" applyAlignment="1">
      <alignment horizontal="center" vertical="center"/>
    </xf>
    <xf numFmtId="4" fontId="5" fillId="16" borderId="35" xfId="0" applyNumberFormat="1" applyFont="1" applyFill="1" applyBorder="1" applyAlignment="1">
      <alignment horizontal="center" vertical="center" wrapText="1"/>
    </xf>
    <xf numFmtId="4" fontId="5" fillId="16" borderId="35" xfId="0" applyNumberFormat="1" applyFont="1" applyFill="1" applyBorder="1" applyAlignment="1">
      <alignment horizontal="center" vertical="center"/>
    </xf>
    <xf numFmtId="165" fontId="5" fillId="16" borderId="69" xfId="0" applyNumberFormat="1" applyFont="1" applyFill="1" applyBorder="1" applyAlignment="1">
      <alignment horizontal="center" vertical="center"/>
    </xf>
    <xf numFmtId="4" fontId="5" fillId="16" borderId="69" xfId="0" applyNumberFormat="1" applyFont="1" applyFill="1" applyBorder="1" applyAlignment="1">
      <alignment horizontal="center" vertical="center" wrapText="1"/>
    </xf>
    <xf numFmtId="4" fontId="5" fillId="16" borderId="7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center" vertical="top" wrapText="1"/>
    </xf>
    <xf numFmtId="164" fontId="7" fillId="35" borderId="70" xfId="0" applyNumberFormat="1" applyFont="1" applyFill="1" applyBorder="1" applyAlignment="1">
      <alignment horizontal="center" vertical="center" wrapText="1"/>
    </xf>
    <xf numFmtId="166" fontId="2" fillId="0" borderId="61" xfId="0" applyNumberFormat="1" applyFont="1" applyFill="1" applyBorder="1" applyAlignment="1">
      <alignment horizontal="center" vertical="top" wrapText="1"/>
    </xf>
    <xf numFmtId="166" fontId="11" fillId="0" borderId="45" xfId="0" applyNumberFormat="1" applyFont="1" applyFill="1" applyBorder="1" applyAlignment="1">
      <alignment horizontal="center" vertical="center" wrapText="1"/>
    </xf>
    <xf numFmtId="166" fontId="9" fillId="0" borderId="60" xfId="0" applyNumberFormat="1" applyFont="1" applyFill="1" applyBorder="1" applyAlignment="1">
      <alignment horizontal="center" vertical="top" wrapText="1"/>
    </xf>
    <xf numFmtId="166" fontId="2" fillId="0" borderId="45" xfId="0" applyNumberFormat="1" applyFont="1" applyFill="1" applyBorder="1" applyAlignment="1">
      <alignment vertical="center"/>
    </xf>
    <xf numFmtId="166" fontId="5" fillId="0" borderId="71" xfId="0" applyNumberFormat="1" applyFont="1" applyFill="1" applyBorder="1" applyAlignment="1">
      <alignment vertical="center"/>
    </xf>
    <xf numFmtId="166" fontId="5" fillId="0" borderId="45" xfId="0" applyNumberFormat="1" applyFont="1" applyFill="1" applyBorder="1" applyAlignment="1">
      <alignment horizontal="right" wrapText="1"/>
    </xf>
    <xf numFmtId="166" fontId="5" fillId="0" borderId="45" xfId="0" applyNumberFormat="1" applyFont="1" applyFill="1" applyBorder="1" applyAlignment="1">
      <alignment vertical="center"/>
    </xf>
    <xf numFmtId="166" fontId="5" fillId="0" borderId="45" xfId="0" applyNumberFormat="1" applyFont="1" applyFill="1" applyBorder="1" applyAlignment="1">
      <alignment horizontal="right" vertical="top" wrapText="1"/>
    </xf>
    <xf numFmtId="166" fontId="4" fillId="0" borderId="45" xfId="0" applyNumberFormat="1" applyFont="1" applyFill="1" applyBorder="1" applyAlignment="1">
      <alignment horizontal="right"/>
    </xf>
    <xf numFmtId="166" fontId="5" fillId="0" borderId="61" xfId="0" applyNumberFormat="1" applyFont="1" applyFill="1" applyBorder="1" applyAlignment="1">
      <alignment horizontal="right" vertical="top" wrapText="1"/>
    </xf>
    <xf numFmtId="166" fontId="5" fillId="0" borderId="45" xfId="0" applyNumberFormat="1" applyFont="1" applyFill="1" applyBorder="1" applyAlignment="1">
      <alignment/>
    </xf>
    <xf numFmtId="166" fontId="2" fillId="3" borderId="61" xfId="0" applyNumberFormat="1" applyFont="1" applyFill="1" applyBorder="1" applyAlignment="1">
      <alignment horizontal="center" vertical="top" wrapText="1"/>
    </xf>
    <xf numFmtId="166" fontId="11" fillId="3" borderId="45" xfId="0" applyNumberFormat="1" applyFont="1" applyFill="1" applyBorder="1" applyAlignment="1">
      <alignment horizontal="center" vertical="center" wrapText="1"/>
    </xf>
    <xf numFmtId="166" fontId="9" fillId="3" borderId="60" xfId="0" applyNumberFormat="1" applyFont="1" applyFill="1" applyBorder="1" applyAlignment="1">
      <alignment horizontal="center" vertical="top" wrapText="1"/>
    </xf>
    <xf numFmtId="166" fontId="2" fillId="3" borderId="45" xfId="0" applyNumberFormat="1" applyFont="1" applyFill="1" applyBorder="1" applyAlignment="1">
      <alignment vertical="center"/>
    </xf>
    <xf numFmtId="166" fontId="15" fillId="3" borderId="45" xfId="0" applyNumberFormat="1" applyFont="1" applyFill="1" applyBorder="1" applyAlignment="1">
      <alignment vertical="center"/>
    </xf>
    <xf numFmtId="166" fontId="5" fillId="3" borderId="45" xfId="0" applyNumberFormat="1" applyFont="1" applyFill="1" applyBorder="1" applyAlignment="1">
      <alignment horizontal="right" wrapText="1"/>
    </xf>
    <xf numFmtId="4" fontId="7" fillId="3" borderId="36" xfId="0" applyNumberFormat="1" applyFont="1" applyFill="1" applyBorder="1" applyAlignment="1">
      <alignment horizontal="center" vertical="center" wrapText="1"/>
    </xf>
    <xf numFmtId="4" fontId="7" fillId="3" borderId="37" xfId="0" applyNumberFormat="1" applyFont="1" applyFill="1" applyBorder="1" applyAlignment="1">
      <alignment horizontal="center" vertical="center" wrapText="1"/>
    </xf>
    <xf numFmtId="166" fontId="4" fillId="3" borderId="32" xfId="0" applyNumberFormat="1" applyFont="1" applyFill="1" applyBorder="1" applyAlignment="1">
      <alignment/>
    </xf>
    <xf numFmtId="166" fontId="4" fillId="3" borderId="39" xfId="0" applyNumberFormat="1" applyFont="1" applyFill="1" applyBorder="1" applyAlignment="1">
      <alignment/>
    </xf>
    <xf numFmtId="166" fontId="4" fillId="3" borderId="33" xfId="0" applyNumberFormat="1" applyFont="1" applyFill="1" applyBorder="1" applyAlignment="1">
      <alignment horizontal="right"/>
    </xf>
    <xf numFmtId="166" fontId="25" fillId="0" borderId="32" xfId="0" applyNumberFormat="1" applyFont="1" applyFill="1" applyBorder="1" applyAlignment="1">
      <alignment/>
    </xf>
    <xf numFmtId="166" fontId="25" fillId="3" borderId="32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 quotePrefix="1">
      <alignment/>
    </xf>
    <xf numFmtId="44" fontId="20" fillId="0" borderId="1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4" fontId="0" fillId="0" borderId="0" xfId="0" applyNumberFormat="1" applyFill="1" applyAlignment="1">
      <alignment/>
    </xf>
    <xf numFmtId="44" fontId="0" fillId="38" borderId="38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20" fillId="0" borderId="38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38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20" fillId="0" borderId="38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44" fontId="0" fillId="38" borderId="0" xfId="0" applyNumberFormat="1" applyFont="1" applyFill="1" applyAlignment="1">
      <alignment/>
    </xf>
    <xf numFmtId="0" fontId="20" fillId="38" borderId="0" xfId="0" applyFont="1" applyFill="1" applyAlignment="1">
      <alignment/>
    </xf>
    <xf numFmtId="44" fontId="20" fillId="38" borderId="0" xfId="0" applyNumberFormat="1" applyFont="1" applyFill="1" applyAlignment="1">
      <alignment/>
    </xf>
    <xf numFmtId="44" fontId="0" fillId="35" borderId="50" xfId="0" applyNumberFormat="1" applyFont="1" applyFill="1" applyBorder="1" applyAlignment="1">
      <alignment wrapText="1"/>
    </xf>
    <xf numFmtId="44" fontId="0" fillId="35" borderId="48" xfId="0" applyNumberFormat="1" applyFont="1" applyFill="1" applyBorder="1" applyAlignment="1">
      <alignment wrapText="1"/>
    </xf>
    <xf numFmtId="0" fontId="21" fillId="35" borderId="49" xfId="0" applyFont="1" applyFill="1" applyBorder="1" applyAlignment="1">
      <alignment wrapText="1"/>
    </xf>
    <xf numFmtId="4" fontId="5" fillId="37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72" xfId="0" applyNumberFormat="1" applyFont="1" applyFill="1" applyBorder="1" applyAlignment="1">
      <alignment horizontal="right" vertical="top" wrapText="1"/>
    </xf>
    <xf numFmtId="4" fontId="4" fillId="0" borderId="51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4" fontId="5" fillId="0" borderId="72" xfId="0" applyNumberFormat="1" applyFont="1" applyFill="1" applyBorder="1" applyAlignment="1">
      <alignment/>
    </xf>
    <xf numFmtId="4" fontId="5" fillId="35" borderId="3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4" fontId="0" fillId="38" borderId="38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38" borderId="29" xfId="0" applyNumberFormat="1" applyFill="1" applyBorder="1" applyAlignment="1">
      <alignment/>
    </xf>
    <xf numFmtId="44" fontId="0" fillId="38" borderId="44" xfId="0" applyNumberFormat="1" applyFill="1" applyBorder="1" applyAlignment="1">
      <alignment/>
    </xf>
    <xf numFmtId="4" fontId="0" fillId="38" borderId="40" xfId="0" applyNumberFormat="1" applyFill="1" applyBorder="1" applyAlignment="1">
      <alignment/>
    </xf>
    <xf numFmtId="0" fontId="0" fillId="37" borderId="38" xfId="0" applyFont="1" applyFill="1" applyBorder="1" applyAlignment="1">
      <alignment wrapText="1"/>
    </xf>
    <xf numFmtId="0" fontId="0" fillId="37" borderId="0" xfId="0" applyFill="1" applyAlignment="1">
      <alignment/>
    </xf>
    <xf numFmtId="49" fontId="0" fillId="37" borderId="38" xfId="0" applyNumberFormat="1" applyFont="1" applyFill="1" applyBorder="1" applyAlignment="1">
      <alignment/>
    </xf>
    <xf numFmtId="44" fontId="0" fillId="37" borderId="38" xfId="64" applyFont="1" applyFill="1" applyBorder="1" applyAlignment="1">
      <alignment/>
    </xf>
    <xf numFmtId="0" fontId="0" fillId="0" borderId="41" xfId="0" applyFont="1" applyFill="1" applyBorder="1" applyAlignment="1">
      <alignment/>
    </xf>
    <xf numFmtId="14" fontId="0" fillId="0" borderId="38" xfId="0" applyNumberFormat="1" applyFont="1" applyFill="1" applyBorder="1" applyAlignment="1">
      <alignment horizontal="left" wrapText="1"/>
    </xf>
    <xf numFmtId="0" fontId="20" fillId="35" borderId="56" xfId="0" applyFont="1" applyFill="1" applyBorder="1" applyAlignment="1">
      <alignment wrapText="1"/>
    </xf>
    <xf numFmtId="14" fontId="20" fillId="35" borderId="40" xfId="0" applyNumberFormat="1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44" fontId="0" fillId="35" borderId="38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39" borderId="38" xfId="0" applyFont="1" applyFill="1" applyBorder="1" applyAlignment="1">
      <alignment/>
    </xf>
    <xf numFmtId="182" fontId="0" fillId="39" borderId="38" xfId="0" applyNumberFormat="1" applyFill="1" applyBorder="1" applyAlignment="1">
      <alignment/>
    </xf>
    <xf numFmtId="0" fontId="0" fillId="39" borderId="38" xfId="0" applyFont="1" applyFill="1" applyBorder="1" applyAlignment="1">
      <alignment horizontal="left"/>
    </xf>
    <xf numFmtId="0" fontId="0" fillId="39" borderId="38" xfId="73" applyFont="1" applyFill="1" applyBorder="1" applyAlignment="1">
      <alignment horizontal="left"/>
    </xf>
    <xf numFmtId="44" fontId="5" fillId="0" borderId="0" xfId="0" applyNumberFormat="1" applyFont="1" applyFill="1" applyAlignment="1">
      <alignment/>
    </xf>
    <xf numFmtId="8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182" fontId="0" fillId="0" borderId="38" xfId="64" applyNumberFormat="1" applyFont="1" applyFill="1" applyBorder="1" applyAlignment="1">
      <alignment/>
    </xf>
    <xf numFmtId="49" fontId="0" fillId="39" borderId="38" xfId="0" applyNumberFormat="1" applyFont="1" applyFill="1" applyBorder="1" applyAlignment="1">
      <alignment/>
    </xf>
    <xf numFmtId="44" fontId="0" fillId="0" borderId="0" xfId="64" applyFont="1" applyAlignment="1">
      <alignment/>
    </xf>
    <xf numFmtId="44" fontId="0" fillId="39" borderId="50" xfId="0" applyNumberFormat="1" applyFont="1" applyFill="1" applyBorder="1" applyAlignment="1">
      <alignment wrapText="1"/>
    </xf>
    <xf numFmtId="44" fontId="0" fillId="39" borderId="48" xfId="0" applyNumberFormat="1" applyFont="1" applyFill="1" applyBorder="1" applyAlignment="1">
      <alignment wrapText="1"/>
    </xf>
    <xf numFmtId="0" fontId="21" fillId="39" borderId="49" xfId="0" applyFont="1" applyFill="1" applyBorder="1" applyAlignment="1">
      <alignment wrapText="1"/>
    </xf>
    <xf numFmtId="2" fontId="16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/>
    </xf>
    <xf numFmtId="2" fontId="17" fillId="0" borderId="59" xfId="0" applyNumberFormat="1" applyFont="1" applyFill="1" applyBorder="1" applyAlignment="1">
      <alignment horizontal="center" vertical="center"/>
    </xf>
    <xf numFmtId="2" fontId="5" fillId="16" borderId="21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vertical="top"/>
    </xf>
    <xf numFmtId="2" fontId="12" fillId="0" borderId="26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15" fillId="0" borderId="26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2" fontId="72" fillId="0" borderId="26" xfId="0" applyNumberFormat="1" applyFont="1" applyFill="1" applyBorder="1" applyAlignment="1">
      <alignment/>
    </xf>
    <xf numFmtId="2" fontId="4" fillId="0" borderId="7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4" fillId="0" borderId="74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 vertical="center"/>
    </xf>
    <xf numFmtId="2" fontId="5" fillId="0" borderId="26" xfId="0" applyNumberFormat="1" applyFont="1" applyFill="1" applyBorder="1" applyAlignment="1">
      <alignment vertical="center"/>
    </xf>
    <xf numFmtId="2" fontId="11" fillId="16" borderId="67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49" fontId="0" fillId="0" borderId="38" xfId="0" applyNumberFormat="1" applyFont="1" applyFill="1" applyBorder="1" applyAlignment="1">
      <alignment/>
    </xf>
    <xf numFmtId="49" fontId="0" fillId="37" borderId="57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 wrapText="1"/>
    </xf>
    <xf numFmtId="40" fontId="0" fillId="0" borderId="0" xfId="0" applyNumberFormat="1" applyAlignment="1">
      <alignment/>
    </xf>
    <xf numFmtId="0" fontId="0" fillId="39" borderId="13" xfId="73" applyFont="1" applyFill="1" applyBorder="1" applyAlignment="1">
      <alignment horizontal="left"/>
    </xf>
    <xf numFmtId="0" fontId="0" fillId="0" borderId="38" xfId="0" applyFont="1" applyBorder="1" applyAlignment="1">
      <alignment/>
    </xf>
    <xf numFmtId="44" fontId="0" fillId="39" borderId="38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64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6" fontId="5" fillId="0" borderId="30" xfId="0" applyNumberFormat="1" applyFont="1" applyFill="1" applyBorder="1" applyAlignment="1">
      <alignment horizontal="right" vertical="top"/>
    </xf>
    <xf numFmtId="44" fontId="20" fillId="0" borderId="25" xfId="0" applyNumberFormat="1" applyFont="1" applyFill="1" applyBorder="1" applyAlignment="1">
      <alignment/>
    </xf>
    <xf numFmtId="44" fontId="0" fillId="0" borderId="38" xfId="64" applyFont="1" applyFill="1" applyBorder="1" applyAlignment="1">
      <alignment/>
    </xf>
    <xf numFmtId="0" fontId="0" fillId="38" borderId="65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167" fontId="0" fillId="38" borderId="66" xfId="0" applyNumberFormat="1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44" fontId="20" fillId="35" borderId="40" xfId="0" applyNumberFormat="1" applyFont="1" applyFill="1" applyBorder="1" applyAlignment="1">
      <alignment wrapText="1"/>
    </xf>
    <xf numFmtId="0" fontId="0" fillId="35" borderId="75" xfId="0" applyFont="1" applyFill="1" applyBorder="1" applyAlignment="1">
      <alignment wrapText="1"/>
    </xf>
    <xf numFmtId="14" fontId="0" fillId="35" borderId="43" xfId="0" applyNumberFormat="1" applyFont="1" applyFill="1" applyBorder="1" applyAlignment="1">
      <alignment wrapText="1"/>
    </xf>
    <xf numFmtId="0" fontId="0" fillId="35" borderId="43" xfId="0" applyFont="1" applyFill="1" applyBorder="1" applyAlignment="1">
      <alignment wrapText="1"/>
    </xf>
    <xf numFmtId="44" fontId="0" fillId="35" borderId="43" xfId="0" applyNumberFormat="1" applyFont="1" applyFill="1" applyBorder="1" applyAlignment="1">
      <alignment wrapText="1"/>
    </xf>
    <xf numFmtId="0" fontId="0" fillId="35" borderId="76" xfId="0" applyFont="1" applyFill="1" applyBorder="1" applyAlignment="1">
      <alignment wrapText="1"/>
    </xf>
    <xf numFmtId="14" fontId="0" fillId="39" borderId="43" xfId="0" applyNumberFormat="1" applyFont="1" applyFill="1" applyBorder="1" applyAlignment="1">
      <alignment wrapText="1"/>
    </xf>
    <xf numFmtId="0" fontId="0" fillId="39" borderId="43" xfId="0" applyFont="1" applyFill="1" applyBorder="1" applyAlignment="1">
      <alignment wrapText="1"/>
    </xf>
    <xf numFmtId="44" fontId="0" fillId="39" borderId="43" xfId="0" applyNumberFormat="1" applyFont="1" applyFill="1" applyBorder="1" applyAlignment="1">
      <alignment wrapText="1"/>
    </xf>
    <xf numFmtId="0" fontId="0" fillId="39" borderId="38" xfId="0" applyFont="1" applyFill="1" applyBorder="1" applyAlignment="1">
      <alignment wrapText="1"/>
    </xf>
    <xf numFmtId="0" fontId="0" fillId="38" borderId="43" xfId="0" applyFont="1" applyFill="1" applyBorder="1" applyAlignment="1">
      <alignment wrapText="1"/>
    </xf>
    <xf numFmtId="44" fontId="0" fillId="38" borderId="43" xfId="0" applyNumberFormat="1" applyFont="1" applyFill="1" applyBorder="1" applyAlignment="1">
      <alignment wrapText="1"/>
    </xf>
    <xf numFmtId="0" fontId="0" fillId="39" borderId="43" xfId="0" applyFont="1" applyFill="1" applyBorder="1" applyAlignment="1">
      <alignment horizontal="left"/>
    </xf>
    <xf numFmtId="0" fontId="0" fillId="39" borderId="43" xfId="73" applyFont="1" applyFill="1" applyBorder="1" applyAlignment="1">
      <alignment horizontal="left"/>
    </xf>
    <xf numFmtId="0" fontId="0" fillId="39" borderId="76" xfId="0" applyFont="1" applyFill="1" applyBorder="1" applyAlignment="1">
      <alignment wrapText="1"/>
    </xf>
    <xf numFmtId="14" fontId="0" fillId="38" borderId="43" xfId="0" applyNumberFormat="1" applyFont="1" applyFill="1" applyBorder="1" applyAlignment="1">
      <alignment wrapText="1"/>
    </xf>
    <xf numFmtId="40" fontId="0" fillId="39" borderId="38" xfId="0" applyNumberFormat="1" applyFill="1" applyBorder="1" applyAlignment="1">
      <alignment/>
    </xf>
    <xf numFmtId="40" fontId="0" fillId="39" borderId="38" xfId="0" applyNumberFormat="1" applyFill="1" applyBorder="1" applyAlignment="1">
      <alignment horizontal="right" wrapText="1"/>
    </xf>
    <xf numFmtId="44" fontId="0" fillId="38" borderId="50" xfId="0" applyNumberFormat="1" applyFont="1" applyFill="1" applyBorder="1" applyAlignment="1">
      <alignment wrapText="1"/>
    </xf>
    <xf numFmtId="44" fontId="0" fillId="38" borderId="48" xfId="0" applyNumberFormat="1" applyFont="1" applyFill="1" applyBorder="1" applyAlignment="1">
      <alignment wrapText="1"/>
    </xf>
    <xf numFmtId="0" fontId="21" fillId="38" borderId="49" xfId="0" applyFont="1" applyFill="1" applyBorder="1" applyAlignment="1">
      <alignment wrapText="1"/>
    </xf>
    <xf numFmtId="1" fontId="29" fillId="36" borderId="43" xfId="0" applyNumberFormat="1" applyFont="1" applyFill="1" applyBorder="1" applyAlignment="1">
      <alignment wrapText="1"/>
    </xf>
    <xf numFmtId="14" fontId="30" fillId="36" borderId="43" xfId="0" applyNumberFormat="1" applyFont="1" applyFill="1" applyBorder="1" applyAlignment="1">
      <alignment wrapText="1"/>
    </xf>
    <xf numFmtId="0" fontId="30" fillId="36" borderId="43" xfId="0" applyFont="1" applyFill="1" applyBorder="1" applyAlignment="1">
      <alignment wrapText="1"/>
    </xf>
    <xf numFmtId="182" fontId="30" fillId="36" borderId="43" xfId="0" applyNumberFormat="1" applyFont="1" applyFill="1" applyBorder="1" applyAlignment="1">
      <alignment wrapText="1"/>
    </xf>
    <xf numFmtId="0" fontId="30" fillId="36" borderId="76" xfId="0" applyFont="1" applyFill="1" applyBorder="1" applyAlignment="1">
      <alignment wrapText="1"/>
    </xf>
    <xf numFmtId="0" fontId="29" fillId="36" borderId="77" xfId="0" applyFont="1" applyFill="1" applyBorder="1" applyAlignment="1">
      <alignment wrapText="1"/>
    </xf>
    <xf numFmtId="0" fontId="29" fillId="36" borderId="78" xfId="0" applyFont="1" applyFill="1" applyBorder="1" applyAlignment="1">
      <alignment wrapText="1"/>
    </xf>
    <xf numFmtId="0" fontId="29" fillId="0" borderId="0" xfId="0" applyFont="1" applyAlignment="1">
      <alignment/>
    </xf>
    <xf numFmtId="1" fontId="30" fillId="36" borderId="43" xfId="0" applyNumberFormat="1" applyFont="1" applyFill="1" applyBorder="1" applyAlignment="1">
      <alignment wrapText="1"/>
    </xf>
    <xf numFmtId="0" fontId="30" fillId="36" borderId="77" xfId="0" applyFont="1" applyFill="1" applyBorder="1" applyAlignment="1">
      <alignment wrapText="1"/>
    </xf>
    <xf numFmtId="0" fontId="30" fillId="36" borderId="78" xfId="0" applyFont="1" applyFill="1" applyBorder="1" applyAlignment="1">
      <alignment wrapText="1"/>
    </xf>
    <xf numFmtId="0" fontId="30" fillId="0" borderId="0" xfId="0" applyFont="1" applyAlignment="1">
      <alignment/>
    </xf>
    <xf numFmtId="182" fontId="29" fillId="36" borderId="43" xfId="0" applyNumberFormat="1" applyFont="1" applyFill="1" applyBorder="1" applyAlignment="1">
      <alignment wrapText="1"/>
    </xf>
    <xf numFmtId="182" fontId="30" fillId="0" borderId="0" xfId="0" applyNumberFormat="1" applyFont="1" applyAlignment="1">
      <alignment/>
    </xf>
    <xf numFmtId="9" fontId="0" fillId="0" borderId="0" xfId="53" applyFont="1" applyAlignment="1">
      <alignment/>
    </xf>
    <xf numFmtId="44" fontId="69" fillId="0" borderId="38" xfId="64" applyFont="1" applyFill="1" applyBorder="1" applyAlignment="1">
      <alignment/>
    </xf>
    <xf numFmtId="44" fontId="69" fillId="0" borderId="38" xfId="0" applyNumberFormat="1" applyFont="1" applyFill="1" applyBorder="1" applyAlignment="1">
      <alignment/>
    </xf>
    <xf numFmtId="44" fontId="0" fillId="0" borderId="0" xfId="64" applyFont="1" applyFill="1" applyAlignment="1">
      <alignment/>
    </xf>
    <xf numFmtId="2" fontId="20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182" fontId="0" fillId="0" borderId="38" xfId="0" applyNumberFormat="1" applyFill="1" applyBorder="1" applyAlignment="1">
      <alignment/>
    </xf>
    <xf numFmtId="182" fontId="69" fillId="0" borderId="38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44" fontId="0" fillId="0" borderId="0" xfId="0" applyNumberFormat="1" applyFont="1" applyAlignment="1">
      <alignment wrapText="1"/>
    </xf>
    <xf numFmtId="166" fontId="5" fillId="37" borderId="45" xfId="0" applyNumberFormat="1" applyFont="1" applyFill="1" applyBorder="1" applyAlignment="1">
      <alignment horizontal="right" vertical="top" wrapText="1"/>
    </xf>
    <xf numFmtId="166" fontId="5" fillId="37" borderId="79" xfId="0" applyNumberFormat="1" applyFont="1" applyFill="1" applyBorder="1" applyAlignment="1">
      <alignment horizontal="right" vertical="top" wrapText="1"/>
    </xf>
    <xf numFmtId="166" fontId="5" fillId="0" borderId="45" xfId="0" applyNumberFormat="1" applyFont="1" applyFill="1" applyBorder="1" applyAlignment="1" quotePrefix="1">
      <alignment horizontal="right" wrapText="1"/>
    </xf>
    <xf numFmtId="44" fontId="0" fillId="0" borderId="38" xfId="0" applyNumberFormat="1" applyBorder="1" applyAlignment="1">
      <alignment/>
    </xf>
    <xf numFmtId="0" fontId="30" fillId="0" borderId="0" xfId="0" applyFont="1" applyBorder="1" applyAlignment="1">
      <alignment horizontal="center" wrapText="1"/>
    </xf>
    <xf numFmtId="14" fontId="29" fillId="36" borderId="43" xfId="0" applyNumberFormat="1" applyFont="1" applyFill="1" applyBorder="1" applyAlignment="1">
      <alignment wrapText="1"/>
    </xf>
    <xf numFmtId="0" fontId="29" fillId="36" borderId="43" xfId="0" applyFont="1" applyFill="1" applyBorder="1" applyAlignment="1">
      <alignment wrapText="1"/>
    </xf>
    <xf numFmtId="0" fontId="29" fillId="36" borderId="76" xfId="0" applyFont="1" applyFill="1" applyBorder="1" applyAlignment="1">
      <alignment wrapText="1"/>
    </xf>
    <xf numFmtId="14" fontId="30" fillId="8" borderId="43" xfId="0" applyNumberFormat="1" applyFont="1" applyFill="1" applyBorder="1" applyAlignment="1">
      <alignment horizontal="center"/>
    </xf>
    <xf numFmtId="0" fontId="30" fillId="8" borderId="43" xfId="0" applyFont="1" applyFill="1" applyBorder="1" applyAlignment="1">
      <alignment/>
    </xf>
    <xf numFmtId="182" fontId="30" fillId="8" borderId="43" xfId="0" applyNumberFormat="1" applyFont="1" applyFill="1" applyBorder="1" applyAlignment="1">
      <alignment/>
    </xf>
    <xf numFmtId="0" fontId="30" fillId="8" borderId="43" xfId="0" applyFont="1" applyFill="1" applyBorder="1" applyAlignment="1">
      <alignment wrapText="1"/>
    </xf>
    <xf numFmtId="0" fontId="30" fillId="8" borderId="76" xfId="0" applyFont="1" applyFill="1" applyBorder="1" applyAlignment="1">
      <alignment/>
    </xf>
    <xf numFmtId="14" fontId="30" fillId="38" borderId="43" xfId="0" applyNumberFormat="1" applyFont="1" applyFill="1" applyBorder="1" applyAlignment="1">
      <alignment wrapText="1"/>
    </xf>
    <xf numFmtId="0" fontId="30" fillId="38" borderId="43" xfId="0" applyFont="1" applyFill="1" applyBorder="1" applyAlignment="1">
      <alignment wrapText="1"/>
    </xf>
    <xf numFmtId="44" fontId="30" fillId="38" borderId="43" xfId="0" applyNumberFormat="1" applyFont="1" applyFill="1" applyBorder="1" applyAlignment="1">
      <alignment wrapText="1"/>
    </xf>
    <xf numFmtId="0" fontId="30" fillId="38" borderId="38" xfId="0" applyFont="1" applyFill="1" applyBorder="1" applyAlignment="1">
      <alignment horizontal="left"/>
    </xf>
    <xf numFmtId="0" fontId="30" fillId="38" borderId="76" xfId="0" applyFont="1" applyFill="1" applyBorder="1" applyAlignment="1">
      <alignment wrapText="1"/>
    </xf>
    <xf numFmtId="44" fontId="30" fillId="38" borderId="50" xfId="0" applyNumberFormat="1" applyFont="1" applyFill="1" applyBorder="1" applyAlignment="1">
      <alignment wrapText="1"/>
    </xf>
    <xf numFmtId="44" fontId="30" fillId="38" borderId="48" xfId="0" applyNumberFormat="1" applyFont="1" applyFill="1" applyBorder="1" applyAlignment="1">
      <alignment wrapText="1"/>
    </xf>
    <xf numFmtId="0" fontId="30" fillId="38" borderId="49" xfId="0" applyFont="1" applyFill="1" applyBorder="1" applyAlignment="1">
      <alignment wrapText="1"/>
    </xf>
    <xf numFmtId="0" fontId="30" fillId="38" borderId="0" xfId="0" applyFont="1" applyFill="1" applyAlignment="1">
      <alignment/>
    </xf>
    <xf numFmtId="14" fontId="30" fillId="8" borderId="38" xfId="0" applyNumberFormat="1" applyFont="1" applyFill="1" applyBorder="1" applyAlignment="1">
      <alignment horizontal="center"/>
    </xf>
    <xf numFmtId="0" fontId="30" fillId="8" borderId="38" xfId="0" applyFont="1" applyFill="1" applyBorder="1" applyAlignment="1">
      <alignment/>
    </xf>
    <xf numFmtId="182" fontId="30" fillId="8" borderId="38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" fontId="30" fillId="0" borderId="0" xfId="0" applyNumberFormat="1" applyFont="1" applyAlignment="1">
      <alignment/>
    </xf>
    <xf numFmtId="14" fontId="30" fillId="0" borderId="0" xfId="0" applyNumberFormat="1" applyFont="1" applyAlignment="1">
      <alignment/>
    </xf>
    <xf numFmtId="44" fontId="0" fillId="37" borderId="38" xfId="64" applyFont="1" applyFill="1" applyBorder="1" applyAlignment="1">
      <alignment/>
    </xf>
    <xf numFmtId="0" fontId="0" fillId="40" borderId="0" xfId="0" applyFill="1" applyAlignment="1">
      <alignment/>
    </xf>
    <xf numFmtId="182" fontId="0" fillId="37" borderId="38" xfId="0" applyNumberFormat="1" applyFill="1" applyBorder="1" applyAlignment="1">
      <alignment/>
    </xf>
    <xf numFmtId="182" fontId="73" fillId="0" borderId="38" xfId="0" applyNumberFormat="1" applyFont="1" applyFill="1" applyBorder="1" applyAlignment="1">
      <alignment/>
    </xf>
    <xf numFmtId="2" fontId="20" fillId="40" borderId="0" xfId="0" applyNumberFormat="1" applyFont="1" applyFill="1" applyAlignment="1">
      <alignment/>
    </xf>
    <xf numFmtId="0" fontId="0" fillId="38" borderId="38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9" fontId="0" fillId="0" borderId="38" xfId="0" applyNumberFormat="1" applyFill="1" applyBorder="1" applyAlignment="1">
      <alignment/>
    </xf>
    <xf numFmtId="0" fontId="0" fillId="0" borderId="13" xfId="0" applyFont="1" applyFill="1" applyBorder="1" applyAlignment="1">
      <alignment wrapText="1"/>
    </xf>
    <xf numFmtId="44" fontId="20" fillId="0" borderId="38" xfId="0" applyNumberFormat="1" applyFont="1" applyFill="1" applyBorder="1" applyAlignment="1">
      <alignment/>
    </xf>
    <xf numFmtId="9" fontId="0" fillId="38" borderId="38" xfId="0" applyNumberFormat="1" applyFill="1" applyBorder="1" applyAlignment="1">
      <alignment/>
    </xf>
    <xf numFmtId="0" fontId="0" fillId="40" borderId="0" xfId="0" applyFont="1" applyFill="1" applyAlignment="1">
      <alignment/>
    </xf>
    <xf numFmtId="44" fontId="0" fillId="39" borderId="38" xfId="0" applyNumberFormat="1" applyFill="1" applyBorder="1" applyAlignment="1">
      <alignment/>
    </xf>
    <xf numFmtId="182" fontId="0" fillId="39" borderId="0" xfId="0" applyNumberFormat="1" applyFill="1" applyAlignment="1">
      <alignment/>
    </xf>
    <xf numFmtId="0" fontId="32" fillId="0" borderId="0" xfId="0" applyFont="1" applyAlignment="1">
      <alignment/>
    </xf>
    <xf numFmtId="0" fontId="0" fillId="0" borderId="38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4" fontId="0" fillId="0" borderId="29" xfId="64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14" fontId="0" fillId="35" borderId="0" xfId="0" applyNumberFormat="1" applyFont="1" applyFill="1" applyBorder="1" applyAlignment="1">
      <alignment wrapText="1"/>
    </xf>
    <xf numFmtId="44" fontId="0" fillId="35" borderId="0" xfId="0" applyNumberFormat="1" applyFont="1" applyFill="1" applyBorder="1" applyAlignment="1">
      <alignment wrapText="1"/>
    </xf>
    <xf numFmtId="14" fontId="30" fillId="36" borderId="38" xfId="0" applyNumberFormat="1" applyFont="1" applyFill="1" applyBorder="1" applyAlignment="1">
      <alignment wrapText="1"/>
    </xf>
    <xf numFmtId="0" fontId="30" fillId="36" borderId="38" xfId="0" applyFont="1" applyFill="1" applyBorder="1" applyAlignment="1">
      <alignment wrapText="1"/>
    </xf>
    <xf numFmtId="182" fontId="30" fillId="36" borderId="38" xfId="0" applyNumberFormat="1" applyFont="1" applyFill="1" applyBorder="1" applyAlignment="1">
      <alignment wrapText="1"/>
    </xf>
    <xf numFmtId="0" fontId="30" fillId="38" borderId="43" xfId="0" applyFont="1" applyFill="1" applyBorder="1" applyAlignment="1">
      <alignment horizontal="left"/>
    </xf>
    <xf numFmtId="40" fontId="0" fillId="39" borderId="43" xfId="0" applyNumberFormat="1" applyFill="1" applyBorder="1" applyAlignment="1">
      <alignment horizontal="right" wrapText="1"/>
    </xf>
    <xf numFmtId="44" fontId="0" fillId="39" borderId="38" xfId="0" applyNumberFormat="1" applyFont="1" applyFill="1" applyBorder="1" applyAlignment="1">
      <alignment wrapText="1"/>
    </xf>
    <xf numFmtId="40" fontId="0" fillId="39" borderId="43" xfId="0" applyNumberFormat="1" applyFill="1" applyBorder="1" applyAlignment="1">
      <alignment/>
    </xf>
    <xf numFmtId="0" fontId="0" fillId="38" borderId="76" xfId="0" applyFont="1" applyFill="1" applyBorder="1" applyAlignment="1">
      <alignment wrapText="1"/>
    </xf>
    <xf numFmtId="0" fontId="20" fillId="35" borderId="43" xfId="0" applyFont="1" applyFill="1" applyBorder="1" applyAlignment="1">
      <alignment wrapText="1"/>
    </xf>
    <xf numFmtId="0" fontId="20" fillId="39" borderId="38" xfId="0" applyFont="1" applyFill="1" applyBorder="1" applyAlignment="1">
      <alignment wrapText="1"/>
    </xf>
    <xf numFmtId="0" fontId="20" fillId="35" borderId="38" xfId="0" applyFont="1" applyFill="1" applyBorder="1" applyAlignment="1">
      <alignment wrapText="1"/>
    </xf>
    <xf numFmtId="0" fontId="20" fillId="35" borderId="0" xfId="0" applyFont="1" applyFill="1" applyBorder="1" applyAlignment="1">
      <alignment wrapText="1"/>
    </xf>
    <xf numFmtId="44" fontId="20" fillId="35" borderId="43" xfId="0" applyNumberFormat="1" applyFont="1" applyFill="1" applyBorder="1" applyAlignment="1">
      <alignment wrapText="1"/>
    </xf>
    <xf numFmtId="44" fontId="0" fillId="0" borderId="80" xfId="0" applyNumberFormat="1" applyBorder="1" applyAlignment="1">
      <alignment/>
    </xf>
    <xf numFmtId="0" fontId="29" fillId="36" borderId="24" xfId="0" applyFont="1" applyFill="1" applyBorder="1" applyAlignment="1">
      <alignment wrapText="1"/>
    </xf>
    <xf numFmtId="182" fontId="20" fillId="0" borderId="0" xfId="0" applyNumberFormat="1" applyFont="1" applyAlignment="1">
      <alignment/>
    </xf>
    <xf numFmtId="44" fontId="20" fillId="0" borderId="38" xfId="0" applyNumberFormat="1" applyFont="1" applyBorder="1" applyAlignment="1">
      <alignment/>
    </xf>
    <xf numFmtId="166" fontId="5" fillId="0" borderId="27" xfId="0" applyNumberFormat="1" applyFont="1" applyFill="1" applyBorder="1" applyAlignment="1">
      <alignment horizontal="right" wrapText="1"/>
    </xf>
    <xf numFmtId="166" fontId="5" fillId="0" borderId="72" xfId="0" applyNumberFormat="1" applyFont="1" applyFill="1" applyBorder="1" applyAlignment="1">
      <alignment horizontal="right" wrapText="1"/>
    </xf>
    <xf numFmtId="0" fontId="0" fillId="0" borderId="38" xfId="0" applyFont="1" applyBorder="1" applyAlignment="1">
      <alignment/>
    </xf>
    <xf numFmtId="43" fontId="0" fillId="0" borderId="38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0" fillId="0" borderId="81" xfId="0" applyFont="1" applyFill="1" applyBorder="1" applyAlignment="1">
      <alignment/>
    </xf>
    <xf numFmtId="0" fontId="0" fillId="0" borderId="38" xfId="64" applyNumberFormat="1" applyFont="1" applyFill="1" applyBorder="1" applyAlignment="1" quotePrefix="1">
      <alignment/>
    </xf>
    <xf numFmtId="44" fontId="0" fillId="0" borderId="38" xfId="64" applyFont="1" applyFill="1" applyBorder="1" applyAlignment="1" quotePrefix="1">
      <alignment/>
    </xf>
    <xf numFmtId="40" fontId="0" fillId="0" borderId="12" xfId="0" applyNumberFormat="1" applyBorder="1" applyAlignment="1">
      <alignment/>
    </xf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38" borderId="62" xfId="0" applyFont="1" applyFill="1" applyBorder="1" applyAlignment="1">
      <alignment horizontal="center"/>
    </xf>
    <xf numFmtId="0" fontId="20" fillId="38" borderId="63" xfId="0" applyFont="1" applyFill="1" applyBorder="1" applyAlignment="1">
      <alignment horizontal="center"/>
    </xf>
    <xf numFmtId="0" fontId="20" fillId="38" borderId="64" xfId="0" applyFon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8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9" fontId="0" fillId="38" borderId="25" xfId="0" applyNumberFormat="1" applyFill="1" applyBorder="1" applyAlignment="1">
      <alignment horizontal="center"/>
    </xf>
    <xf numFmtId="9" fontId="0" fillId="38" borderId="82" xfId="0" applyNumberFormat="1" applyFill="1" applyBorder="1" applyAlignment="1">
      <alignment horizontal="center"/>
    </xf>
    <xf numFmtId="9" fontId="0" fillId="38" borderId="13" xfId="0" applyNumberFormat="1" applyFill="1" applyBorder="1" applyAlignment="1">
      <alignment horizontal="center"/>
    </xf>
    <xf numFmtId="166" fontId="15" fillId="0" borderId="45" xfId="0" applyNumberFormat="1" applyFont="1" applyFill="1" applyBorder="1" applyAlignment="1">
      <alignment vertical="center"/>
    </xf>
    <xf numFmtId="166" fontId="4" fillId="0" borderId="60" xfId="0" applyNumberFormat="1" applyFont="1" applyFill="1" applyBorder="1" applyAlignment="1">
      <alignment/>
    </xf>
    <xf numFmtId="166" fontId="5" fillId="0" borderId="61" xfId="0" applyNumberFormat="1" applyFont="1" applyFill="1" applyBorder="1" applyAlignment="1">
      <alignment vertical="center"/>
    </xf>
    <xf numFmtId="166" fontId="9" fillId="0" borderId="45" xfId="0" applyNumberFormat="1" applyFont="1" applyFill="1" applyBorder="1" applyAlignment="1">
      <alignment horizontal="center" vertical="top" wrapText="1"/>
    </xf>
    <xf numFmtId="166" fontId="4" fillId="0" borderId="83" xfId="0" applyNumberFormat="1" applyFont="1" applyFill="1" applyBorder="1" applyAlignment="1">
      <alignment/>
    </xf>
    <xf numFmtId="166" fontId="4" fillId="0" borderId="61" xfId="0" applyNumberFormat="1" applyFont="1" applyFill="1" applyBorder="1" applyAlignment="1">
      <alignment horizontal="right"/>
    </xf>
    <xf numFmtId="4" fontId="5" fillId="0" borderId="45" xfId="0" applyNumberFormat="1" applyFont="1" applyFill="1" applyBorder="1" applyAlignment="1">
      <alignment horizontal="right" vertical="top" wrapText="1"/>
    </xf>
    <xf numFmtId="166" fontId="11" fillId="0" borderId="83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/>
    </xf>
    <xf numFmtId="0" fontId="8" fillId="0" borderId="3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right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xls-style-1" xfId="66"/>
    <cellStyle name="xls-style-2" xfId="67"/>
    <cellStyle name="xls-style-2 2" xfId="68"/>
    <cellStyle name="xls-style-3" xfId="69"/>
    <cellStyle name="xls-style-3 2" xfId="70"/>
    <cellStyle name="xls-style-4" xfId="71"/>
    <cellStyle name="xls-style-4 2" xfId="72"/>
    <cellStyle name="xls-style-5" xfId="73"/>
    <cellStyle name="xls-style-5 2" xfId="74"/>
    <cellStyle name="xls-style-6" xfId="75"/>
    <cellStyle name="xls-style-6 2" xfId="76"/>
    <cellStyle name="xls-style-7" xfId="77"/>
    <cellStyle name="xls-style-7 2" xfId="78"/>
    <cellStyle name="xls-style-8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7"/>
  <sheetViews>
    <sheetView zoomScale="90" zoomScaleNormal="90" zoomScalePageLayoutView="0" workbookViewId="0" topLeftCell="B4">
      <pane ySplit="1" topLeftCell="A12" activePane="bottomLeft" state="frozen"/>
      <selection pane="topLeft" activeCell="A4" sqref="A4"/>
      <selection pane="bottomLeft" activeCell="E32" sqref="E32"/>
    </sheetView>
  </sheetViews>
  <sheetFormatPr defaultColWidth="9.140625" defaultRowHeight="12.75"/>
  <cols>
    <col min="1" max="1" width="13.7109375" style="11" customWidth="1"/>
    <col min="2" max="2" width="39.7109375" style="11" customWidth="1"/>
    <col min="3" max="3" width="15.28125" style="311" customWidth="1"/>
    <col min="4" max="4" width="19.7109375" style="19" bestFit="1" customWidth="1"/>
    <col min="5" max="5" width="14.28125" style="19" customWidth="1"/>
    <col min="6" max="6" width="15.28125" style="19" customWidth="1"/>
    <col min="7" max="7" width="15.7109375" style="11" customWidth="1"/>
    <col min="8" max="8" width="12.140625" style="11" bestFit="1" customWidth="1"/>
    <col min="9" max="9" width="12.7109375" style="471" bestFit="1" customWidth="1"/>
    <col min="10" max="10" width="12.7109375" style="11" bestFit="1" customWidth="1"/>
    <col min="11" max="11" width="12.28125" style="11" bestFit="1" customWidth="1"/>
    <col min="12" max="12" width="12.28125" style="11" customWidth="1"/>
    <col min="13" max="13" width="15.421875" style="11" bestFit="1" customWidth="1"/>
    <col min="14" max="16384" width="9.140625" style="1" customWidth="1"/>
  </cols>
  <sheetData>
    <row r="1" spans="1:13" s="41" customFormat="1" ht="18" customHeight="1" hidden="1">
      <c r="A1" s="281" t="s">
        <v>192</v>
      </c>
      <c r="B1" s="281"/>
      <c r="C1" s="281"/>
      <c r="D1" s="281"/>
      <c r="E1" s="281"/>
      <c r="F1" s="281"/>
      <c r="G1" s="281"/>
      <c r="H1" s="281"/>
      <c r="I1" s="454"/>
      <c r="J1" s="281"/>
      <c r="K1" s="281"/>
      <c r="L1" s="281"/>
      <c r="M1" s="281"/>
    </row>
    <row r="2" spans="1:12" s="41" customFormat="1" ht="18" customHeight="1" hidden="1">
      <c r="A2" s="281"/>
      <c r="B2" s="281"/>
      <c r="C2" s="281"/>
      <c r="D2" s="281"/>
      <c r="E2" s="281"/>
      <c r="F2" s="281"/>
      <c r="I2" s="455"/>
      <c r="J2" s="322"/>
      <c r="K2" s="323"/>
      <c r="L2" s="324"/>
    </row>
    <row r="3" spans="1:13" s="42" customFormat="1" ht="23.25" customHeight="1" hidden="1" thickBot="1">
      <c r="A3" s="280" t="s">
        <v>307</v>
      </c>
      <c r="B3" s="280"/>
      <c r="C3" s="280"/>
      <c r="D3" s="280"/>
      <c r="E3" s="280"/>
      <c r="F3" s="280"/>
      <c r="G3" s="280"/>
      <c r="H3" s="280"/>
      <c r="I3" s="456"/>
      <c r="J3" s="325"/>
      <c r="K3" s="280"/>
      <c r="L3" s="326"/>
      <c r="M3" s="280"/>
    </row>
    <row r="4" spans="1:13" s="57" customFormat="1" ht="56.25" customHeight="1">
      <c r="A4" s="357" t="s">
        <v>8</v>
      </c>
      <c r="B4" s="356" t="s">
        <v>7</v>
      </c>
      <c r="C4" s="357" t="s">
        <v>703</v>
      </c>
      <c r="D4" s="357" t="s">
        <v>6</v>
      </c>
      <c r="E4" s="358" t="s">
        <v>283</v>
      </c>
      <c r="F4" s="359" t="s">
        <v>289</v>
      </c>
      <c r="G4" s="358" t="s">
        <v>290</v>
      </c>
      <c r="H4" s="358" t="s">
        <v>336</v>
      </c>
      <c r="I4" s="457" t="s">
        <v>287</v>
      </c>
      <c r="J4" s="360" t="s">
        <v>335</v>
      </c>
      <c r="K4" s="358" t="s">
        <v>291</v>
      </c>
      <c r="L4" s="361" t="s">
        <v>337</v>
      </c>
      <c r="M4" s="362" t="s">
        <v>292</v>
      </c>
    </row>
    <row r="5" spans="1:13" s="25" customFormat="1" ht="7.5" customHeight="1">
      <c r="A5" s="24"/>
      <c r="B5" s="58"/>
      <c r="C5" s="241"/>
      <c r="D5" s="282"/>
      <c r="E5" s="283"/>
      <c r="F5" s="153"/>
      <c r="G5" s="154"/>
      <c r="H5" s="154"/>
      <c r="I5" s="458"/>
      <c r="J5" s="327"/>
      <c r="K5" s="328"/>
      <c r="L5" s="329"/>
      <c r="M5" s="312"/>
    </row>
    <row r="6" spans="1:13" s="30" customFormat="1" ht="21.75" customHeight="1">
      <c r="A6" s="29" t="s">
        <v>9</v>
      </c>
      <c r="B6" s="59" t="s">
        <v>10</v>
      </c>
      <c r="C6" s="242"/>
      <c r="D6" s="284"/>
      <c r="E6" s="285"/>
      <c r="F6" s="155"/>
      <c r="G6" s="156"/>
      <c r="H6" s="156"/>
      <c r="I6" s="459"/>
      <c r="J6" s="330"/>
      <c r="K6" s="331"/>
      <c r="L6" s="332"/>
      <c r="M6" s="313"/>
    </row>
    <row r="7" spans="1:13" ht="33" customHeight="1">
      <c r="A7" s="22" t="s">
        <v>11</v>
      </c>
      <c r="B7" s="60" t="s">
        <v>4</v>
      </c>
      <c r="C7" s="412">
        <v>12000</v>
      </c>
      <c r="D7" s="286">
        <f>'variazioni di bilancio'!E10</f>
        <v>110227.34</v>
      </c>
      <c r="E7" s="287">
        <f>SUM(C7:D7)</f>
        <v>122227.34</v>
      </c>
      <c r="F7" s="288">
        <v>0</v>
      </c>
      <c r="G7" s="286">
        <v>0</v>
      </c>
      <c r="H7" s="286">
        <v>0</v>
      </c>
      <c r="I7" s="460">
        <v>0</v>
      </c>
      <c r="J7" s="333">
        <v>0</v>
      </c>
      <c r="K7" s="334">
        <v>0</v>
      </c>
      <c r="L7" s="335">
        <v>0</v>
      </c>
      <c r="M7" s="314">
        <f>G7+K7</f>
        <v>0</v>
      </c>
    </row>
    <row r="8" spans="1:13" s="5" customFormat="1" ht="15.75" customHeight="1">
      <c r="A8" s="26" t="s">
        <v>12</v>
      </c>
      <c r="B8" s="61" t="s">
        <v>86</v>
      </c>
      <c r="C8" s="413"/>
      <c r="D8" s="211"/>
      <c r="E8" s="157"/>
      <c r="F8" s="289"/>
      <c r="G8" s="290"/>
      <c r="H8" s="291"/>
      <c r="I8" s="461"/>
      <c r="J8" s="336"/>
      <c r="K8" s="337"/>
      <c r="L8" s="338"/>
      <c r="M8" s="315"/>
    </row>
    <row r="9" spans="1:13" s="34" customFormat="1" ht="15.75" customHeight="1">
      <c r="A9" s="33" t="s">
        <v>19</v>
      </c>
      <c r="B9" s="62" t="s">
        <v>83</v>
      </c>
      <c r="C9" s="414"/>
      <c r="D9" s="212"/>
      <c r="E9" s="158"/>
      <c r="F9" s="292"/>
      <c r="G9" s="293"/>
      <c r="H9" s="293"/>
      <c r="I9" s="462"/>
      <c r="J9" s="339"/>
      <c r="K9" s="340"/>
      <c r="L9" s="341"/>
      <c r="M9" s="316"/>
    </row>
    <row r="10" spans="1:13" ht="15" customHeight="1">
      <c r="A10" s="20" t="s">
        <v>13</v>
      </c>
      <c r="B10" s="294" t="s">
        <v>87</v>
      </c>
      <c r="C10" s="415">
        <v>0</v>
      </c>
      <c r="D10" s="295">
        <v>0</v>
      </c>
      <c r="E10" s="296">
        <f aca="true" t="shared" si="0" ref="E10:E15">C10+D10</f>
        <v>0</v>
      </c>
      <c r="F10" s="297">
        <v>0</v>
      </c>
      <c r="G10" s="298">
        <v>0</v>
      </c>
      <c r="H10" s="298">
        <f aca="true" t="shared" si="1" ref="H10:H15">F10-G10</f>
        <v>0</v>
      </c>
      <c r="I10" s="463">
        <f aca="true" t="shared" si="2" ref="I10:I15">E10-F10</f>
        <v>0</v>
      </c>
      <c r="J10" s="342">
        <v>0</v>
      </c>
      <c r="K10" s="343">
        <v>0</v>
      </c>
      <c r="L10" s="344">
        <f aca="true" t="shared" si="3" ref="L10:L15">J10-K100</f>
        <v>0</v>
      </c>
      <c r="M10" s="317">
        <f aca="true" t="shared" si="4" ref="M10:M15">G10+K10</f>
        <v>0</v>
      </c>
    </row>
    <row r="11" spans="1:13" ht="15" customHeight="1">
      <c r="A11" s="20" t="s">
        <v>14</v>
      </c>
      <c r="B11" s="294" t="s">
        <v>89</v>
      </c>
      <c r="C11" s="415">
        <v>0</v>
      </c>
      <c r="D11" s="295">
        <v>0</v>
      </c>
      <c r="E11" s="296">
        <f t="shared" si="0"/>
        <v>0</v>
      </c>
      <c r="F11" s="297">
        <v>0</v>
      </c>
      <c r="G11" s="298">
        <v>0</v>
      </c>
      <c r="H11" s="298">
        <f t="shared" si="1"/>
        <v>0</v>
      </c>
      <c r="I11" s="463">
        <f t="shared" si="2"/>
        <v>0</v>
      </c>
      <c r="J11" s="342">
        <v>0</v>
      </c>
      <c r="K11" s="343">
        <v>0</v>
      </c>
      <c r="L11" s="344">
        <f t="shared" si="3"/>
        <v>0</v>
      </c>
      <c r="M11" s="317">
        <f t="shared" si="4"/>
        <v>0</v>
      </c>
    </row>
    <row r="12" spans="1:13" ht="15" customHeight="1">
      <c r="A12" s="20" t="s">
        <v>15</v>
      </c>
      <c r="B12" s="294" t="s">
        <v>90</v>
      </c>
      <c r="C12" s="415">
        <v>0</v>
      </c>
      <c r="D12" s="295">
        <v>0</v>
      </c>
      <c r="E12" s="296">
        <f t="shared" si="0"/>
        <v>0</v>
      </c>
      <c r="F12" s="297">
        <v>0</v>
      </c>
      <c r="G12" s="298">
        <v>0</v>
      </c>
      <c r="H12" s="298">
        <f t="shared" si="1"/>
        <v>0</v>
      </c>
      <c r="I12" s="463">
        <f t="shared" si="2"/>
        <v>0</v>
      </c>
      <c r="J12" s="342">
        <v>0</v>
      </c>
      <c r="K12" s="343">
        <v>0</v>
      </c>
      <c r="L12" s="344">
        <f t="shared" si="3"/>
        <v>0</v>
      </c>
      <c r="M12" s="317">
        <f t="shared" si="4"/>
        <v>0</v>
      </c>
    </row>
    <row r="13" spans="1:13" ht="15" customHeight="1">
      <c r="A13" s="20" t="s">
        <v>16</v>
      </c>
      <c r="B13" s="294" t="s">
        <v>91</v>
      </c>
      <c r="C13" s="415">
        <v>0</v>
      </c>
      <c r="D13" s="295">
        <v>0</v>
      </c>
      <c r="E13" s="296">
        <f t="shared" si="0"/>
        <v>0</v>
      </c>
      <c r="F13" s="297">
        <v>0</v>
      </c>
      <c r="G13" s="298">
        <v>0</v>
      </c>
      <c r="H13" s="298">
        <f t="shared" si="1"/>
        <v>0</v>
      </c>
      <c r="I13" s="463">
        <f t="shared" si="2"/>
        <v>0</v>
      </c>
      <c r="J13" s="342">
        <v>0</v>
      </c>
      <c r="K13" s="343">
        <v>0</v>
      </c>
      <c r="L13" s="344">
        <f t="shared" si="3"/>
        <v>0</v>
      </c>
      <c r="M13" s="317">
        <f t="shared" si="4"/>
        <v>0</v>
      </c>
    </row>
    <row r="14" spans="1:13" ht="15" customHeight="1">
      <c r="A14" s="20" t="s">
        <v>17</v>
      </c>
      <c r="B14" s="294" t="s">
        <v>176</v>
      </c>
      <c r="C14" s="415">
        <v>0</v>
      </c>
      <c r="D14" s="295">
        <v>0</v>
      </c>
      <c r="E14" s="296">
        <f t="shared" si="0"/>
        <v>0</v>
      </c>
      <c r="F14" s="297">
        <v>0</v>
      </c>
      <c r="G14" s="298">
        <v>0</v>
      </c>
      <c r="H14" s="298">
        <f t="shared" si="1"/>
        <v>0</v>
      </c>
      <c r="I14" s="463">
        <f t="shared" si="2"/>
        <v>0</v>
      </c>
      <c r="J14" s="342">
        <v>0</v>
      </c>
      <c r="K14" s="343">
        <v>0</v>
      </c>
      <c r="L14" s="344">
        <f t="shared" si="3"/>
        <v>0</v>
      </c>
      <c r="M14" s="317">
        <f t="shared" si="4"/>
        <v>0</v>
      </c>
    </row>
    <row r="15" spans="1:13" ht="15" customHeight="1">
      <c r="A15" s="9" t="s">
        <v>201</v>
      </c>
      <c r="B15" s="294" t="s">
        <v>202</v>
      </c>
      <c r="C15" s="416">
        <v>0</v>
      </c>
      <c r="D15" s="483">
        <f>'variazioni di bilancio'!E46</f>
        <v>4000</v>
      </c>
      <c r="E15" s="296">
        <f t="shared" si="0"/>
        <v>4000</v>
      </c>
      <c r="F15" s="300">
        <v>4000</v>
      </c>
      <c r="G15" s="295">
        <v>4000</v>
      </c>
      <c r="H15" s="298">
        <f t="shared" si="1"/>
        <v>0</v>
      </c>
      <c r="I15" s="464">
        <f t="shared" si="2"/>
        <v>0</v>
      </c>
      <c r="J15" s="342">
        <v>0</v>
      </c>
      <c r="K15" s="343">
        <v>0</v>
      </c>
      <c r="L15" s="344">
        <f t="shared" si="3"/>
        <v>0</v>
      </c>
      <c r="M15" s="317">
        <f t="shared" si="4"/>
        <v>4000</v>
      </c>
    </row>
    <row r="16" spans="1:13" ht="18.75" customHeight="1">
      <c r="A16" s="8"/>
      <c r="B16" s="63" t="s">
        <v>156</v>
      </c>
      <c r="C16" s="417">
        <f>SUM(C10:C15)</f>
        <v>0</v>
      </c>
      <c r="D16" s="301">
        <f aca="true" t="shared" si="5" ref="D16:M16">SUM(D10:D15)</f>
        <v>4000</v>
      </c>
      <c r="E16" s="301">
        <f t="shared" si="5"/>
        <v>4000</v>
      </c>
      <c r="F16" s="301">
        <f t="shared" si="5"/>
        <v>4000</v>
      </c>
      <c r="G16" s="301">
        <f t="shared" si="5"/>
        <v>4000</v>
      </c>
      <c r="H16" s="301">
        <f t="shared" si="5"/>
        <v>0</v>
      </c>
      <c r="I16" s="465">
        <f t="shared" si="5"/>
        <v>0</v>
      </c>
      <c r="J16" s="345">
        <f t="shared" si="5"/>
        <v>0</v>
      </c>
      <c r="K16" s="345">
        <f t="shared" si="5"/>
        <v>0</v>
      </c>
      <c r="L16" s="345">
        <f t="shared" si="5"/>
        <v>0</v>
      </c>
      <c r="M16" s="318">
        <f t="shared" si="5"/>
        <v>4000</v>
      </c>
    </row>
    <row r="17" spans="1:13" ht="16.5" customHeight="1">
      <c r="A17" s="13" t="s">
        <v>18</v>
      </c>
      <c r="B17" s="64" t="s">
        <v>94</v>
      </c>
      <c r="C17" s="418"/>
      <c r="D17" s="159"/>
      <c r="E17" s="160"/>
      <c r="F17" s="302"/>
      <c r="G17" s="303"/>
      <c r="H17" s="298"/>
      <c r="I17" s="463"/>
      <c r="J17" s="342"/>
      <c r="K17" s="343"/>
      <c r="L17" s="344"/>
      <c r="M17" s="317"/>
    </row>
    <row r="18" spans="1:13" ht="15" customHeight="1">
      <c r="A18" s="14" t="s">
        <v>20</v>
      </c>
      <c r="B18" s="65" t="s">
        <v>189</v>
      </c>
      <c r="C18" s="415">
        <v>0</v>
      </c>
      <c r="D18" s="295">
        <v>0</v>
      </c>
      <c r="E18" s="296">
        <f>SUM(C18:D18)</f>
        <v>0</v>
      </c>
      <c r="F18" s="297">
        <v>0</v>
      </c>
      <c r="G18" s="298">
        <v>0</v>
      </c>
      <c r="H18" s="298">
        <f>F18-G18</f>
        <v>0</v>
      </c>
      <c r="I18" s="463">
        <f>E18-F18</f>
        <v>0</v>
      </c>
      <c r="J18" s="342">
        <v>0</v>
      </c>
      <c r="K18" s="343">
        <v>0</v>
      </c>
      <c r="L18" s="344">
        <f>J18-K18</f>
        <v>0</v>
      </c>
      <c r="M18" s="317">
        <f>G18+K18</f>
        <v>0</v>
      </c>
    </row>
    <row r="19" spans="1:13" ht="32.25" customHeight="1">
      <c r="A19" s="14" t="s">
        <v>21</v>
      </c>
      <c r="B19" s="65" t="s">
        <v>191</v>
      </c>
      <c r="C19" s="415">
        <v>0</v>
      </c>
      <c r="D19" s="298">
        <v>0</v>
      </c>
      <c r="E19" s="298">
        <f>SUM(C19:D19)</f>
        <v>0</v>
      </c>
      <c r="F19" s="297">
        <v>0</v>
      </c>
      <c r="G19" s="297">
        <v>0</v>
      </c>
      <c r="H19" s="298">
        <f>F19-G19</f>
        <v>0</v>
      </c>
      <c r="I19" s="463">
        <f>E19-F19</f>
        <v>0</v>
      </c>
      <c r="J19" s="342">
        <v>0</v>
      </c>
      <c r="K19" s="343">
        <v>0</v>
      </c>
      <c r="L19" s="344">
        <f>J19-K19</f>
        <v>0</v>
      </c>
      <c r="M19" s="317">
        <f>G19+K19</f>
        <v>0</v>
      </c>
    </row>
    <row r="20" spans="1:13" ht="15" customHeight="1">
      <c r="A20" s="14" t="s">
        <v>190</v>
      </c>
      <c r="B20" s="65" t="s">
        <v>93</v>
      </c>
      <c r="C20" s="415">
        <v>0</v>
      </c>
      <c r="D20" s="295">
        <v>0</v>
      </c>
      <c r="E20" s="296">
        <f>SUM(C20:D20)</f>
        <v>0</v>
      </c>
      <c r="F20" s="297">
        <v>0</v>
      </c>
      <c r="G20" s="298">
        <v>0</v>
      </c>
      <c r="H20" s="298">
        <f>F20-G20</f>
        <v>0</v>
      </c>
      <c r="I20" s="463">
        <f>E20-F20</f>
        <v>0</v>
      </c>
      <c r="J20" s="342">
        <v>0</v>
      </c>
      <c r="K20" s="343">
        <v>0</v>
      </c>
      <c r="L20" s="344">
        <f>J20-K20</f>
        <v>0</v>
      </c>
      <c r="M20" s="317">
        <f>G20+K20</f>
        <v>0</v>
      </c>
    </row>
    <row r="21" spans="1:13" ht="18.75" customHeight="1">
      <c r="A21" s="9"/>
      <c r="B21" s="66" t="s">
        <v>95</v>
      </c>
      <c r="C21" s="417">
        <v>0</v>
      </c>
      <c r="D21" s="301">
        <f aca="true" t="shared" si="6" ref="D21:M21">SUM(D18:D20)</f>
        <v>0</v>
      </c>
      <c r="E21" s="301">
        <f t="shared" si="6"/>
        <v>0</v>
      </c>
      <c r="F21" s="301">
        <f t="shared" si="6"/>
        <v>0</v>
      </c>
      <c r="G21" s="301">
        <f t="shared" si="6"/>
        <v>0</v>
      </c>
      <c r="H21" s="301">
        <f t="shared" si="6"/>
        <v>0</v>
      </c>
      <c r="I21" s="465">
        <f t="shared" si="6"/>
        <v>0</v>
      </c>
      <c r="J21" s="345">
        <f t="shared" si="6"/>
        <v>0</v>
      </c>
      <c r="K21" s="345">
        <f t="shared" si="6"/>
        <v>0</v>
      </c>
      <c r="L21" s="345">
        <f t="shared" si="6"/>
        <v>0</v>
      </c>
      <c r="M21" s="318">
        <f t="shared" si="6"/>
        <v>0</v>
      </c>
    </row>
    <row r="22" spans="1:13" ht="18.75" customHeight="1">
      <c r="A22" s="13" t="s">
        <v>22</v>
      </c>
      <c r="B22" s="64" t="s">
        <v>96</v>
      </c>
      <c r="C22" s="418"/>
      <c r="D22" s="159"/>
      <c r="E22" s="160"/>
      <c r="F22" s="302"/>
      <c r="G22" s="303"/>
      <c r="H22" s="303"/>
      <c r="I22" s="466"/>
      <c r="J22" s="346"/>
      <c r="K22" s="343"/>
      <c r="L22" s="344"/>
      <c r="M22" s="317"/>
    </row>
    <row r="23" spans="1:13" ht="15" customHeight="1">
      <c r="A23" s="20" t="s">
        <v>23</v>
      </c>
      <c r="B23" s="65" t="s">
        <v>97</v>
      </c>
      <c r="C23" s="415">
        <v>0</v>
      </c>
      <c r="D23" s="298">
        <f>1110+0.09+1.28+2.21</f>
        <v>1113.58</v>
      </c>
      <c r="E23" s="299">
        <f>SUM(C23:D23)</f>
        <v>1113.58</v>
      </c>
      <c r="F23" s="297">
        <v>1113.58</v>
      </c>
      <c r="G23" s="298">
        <v>1113.58</v>
      </c>
      <c r="H23" s="298">
        <v>0</v>
      </c>
      <c r="I23" s="464">
        <f>E23-F23</f>
        <v>0</v>
      </c>
      <c r="J23" s="342">
        <v>0</v>
      </c>
      <c r="K23" s="343">
        <v>0</v>
      </c>
      <c r="L23" s="344">
        <f>J23-K23</f>
        <v>0</v>
      </c>
      <c r="M23" s="317">
        <f>G23+K23</f>
        <v>1113.58</v>
      </c>
    </row>
    <row r="24" spans="1:13" ht="15" customHeight="1">
      <c r="A24" s="20" t="s">
        <v>24</v>
      </c>
      <c r="B24" s="65" t="s">
        <v>3</v>
      </c>
      <c r="C24" s="419">
        <v>0</v>
      </c>
      <c r="D24" s="295">
        <v>0</v>
      </c>
      <c r="E24" s="299">
        <f>SUM(C24:D24)</f>
        <v>0</v>
      </c>
      <c r="F24" s="304">
        <v>0</v>
      </c>
      <c r="G24" s="305">
        <v>0</v>
      </c>
      <c r="H24" s="298">
        <f>F24-G24</f>
        <v>0</v>
      </c>
      <c r="I24" s="463">
        <f>E24-F24</f>
        <v>0</v>
      </c>
      <c r="J24" s="342">
        <v>0</v>
      </c>
      <c r="K24" s="343">
        <v>0</v>
      </c>
      <c r="L24" s="344">
        <f>J24-K24</f>
        <v>0</v>
      </c>
      <c r="M24" s="317">
        <f>G24+K24</f>
        <v>0</v>
      </c>
    </row>
    <row r="25" spans="1:13" ht="18.75" customHeight="1">
      <c r="A25" s="9"/>
      <c r="B25" s="66" t="s">
        <v>98</v>
      </c>
      <c r="C25" s="417">
        <v>0</v>
      </c>
      <c r="D25" s="301">
        <f aca="true" t="shared" si="7" ref="D25:M25">SUM(D23:D24)</f>
        <v>1113.58</v>
      </c>
      <c r="E25" s="301">
        <f t="shared" si="7"/>
        <v>1113.58</v>
      </c>
      <c r="F25" s="301">
        <f t="shared" si="7"/>
        <v>1113.58</v>
      </c>
      <c r="G25" s="301">
        <f t="shared" si="7"/>
        <v>1113.58</v>
      </c>
      <c r="H25" s="301">
        <f t="shared" si="7"/>
        <v>0</v>
      </c>
      <c r="I25" s="465">
        <f t="shared" si="7"/>
        <v>0</v>
      </c>
      <c r="J25" s="345">
        <f t="shared" si="7"/>
        <v>0</v>
      </c>
      <c r="K25" s="345">
        <f t="shared" si="7"/>
        <v>0</v>
      </c>
      <c r="L25" s="345">
        <f t="shared" si="7"/>
        <v>0</v>
      </c>
      <c r="M25" s="318">
        <f t="shared" si="7"/>
        <v>1113.58</v>
      </c>
    </row>
    <row r="26" spans="1:13" ht="18.75" customHeight="1">
      <c r="A26" s="13" t="s">
        <v>25</v>
      </c>
      <c r="B26" s="64" t="s">
        <v>99</v>
      </c>
      <c r="C26" s="415"/>
      <c r="D26" s="159"/>
      <c r="E26" s="160"/>
      <c r="F26" s="297"/>
      <c r="G26" s="298"/>
      <c r="H26" s="298"/>
      <c r="I26" s="463"/>
      <c r="J26" s="342"/>
      <c r="K26" s="343"/>
      <c r="L26" s="344"/>
      <c r="M26" s="317"/>
    </row>
    <row r="27" spans="1:13" ht="13.5">
      <c r="A27" s="20" t="s">
        <v>26</v>
      </c>
      <c r="B27" s="65" t="s">
        <v>100</v>
      </c>
      <c r="C27" s="415">
        <v>0</v>
      </c>
      <c r="D27" s="298">
        <v>0</v>
      </c>
      <c r="E27" s="299">
        <f>C27+D27</f>
        <v>0</v>
      </c>
      <c r="F27" s="297">
        <v>0</v>
      </c>
      <c r="G27" s="297">
        <v>0</v>
      </c>
      <c r="H27" s="298">
        <f>F27-G27</f>
        <v>0</v>
      </c>
      <c r="I27" s="464">
        <f>E27-F27</f>
        <v>0</v>
      </c>
      <c r="J27" s="342">
        <v>0</v>
      </c>
      <c r="K27" s="343">
        <v>0</v>
      </c>
      <c r="L27" s="344">
        <f>J27-K27</f>
        <v>0</v>
      </c>
      <c r="M27" s="317">
        <f>G27+K27</f>
        <v>0</v>
      </c>
    </row>
    <row r="28" spans="1:14" ht="15" customHeight="1">
      <c r="A28" s="20" t="s">
        <v>27</v>
      </c>
      <c r="B28" s="65" t="s">
        <v>101</v>
      </c>
      <c r="C28" s="419">
        <v>15000</v>
      </c>
      <c r="D28" s="300">
        <f>'variazioni di bilancio'!E7+'variazioni di bilancio'!E24+'variazioni di bilancio'!E49+'variazioni di bilancio'!E50+'variazioni di bilancio'!E51</f>
        <v>168196.32000000004</v>
      </c>
      <c r="E28" s="296">
        <f>SUM(C28:D28)</f>
        <v>183196.32000000004</v>
      </c>
      <c r="F28" s="300">
        <f>accertamenti!D54+accertamenti!D55+'PARTITARIO DELLE ENTRATE'!J31</f>
        <v>183196.31733076856</v>
      </c>
      <c r="G28" s="300">
        <f>'PARTITARIO DELLE ENTRATE'!J31</f>
        <v>180595.62108076856</v>
      </c>
      <c r="H28" s="298">
        <f>F28-G28</f>
        <v>2600.696250000008</v>
      </c>
      <c r="I28" s="464">
        <f>E28-F28</f>
        <v>0.0026692314713727683</v>
      </c>
      <c r="J28" s="343">
        <f>accertamenti!E12+accertamenti!D41+accertamenti!D42</f>
        <v>14276.8</v>
      </c>
      <c r="K28" s="343">
        <f>'PARTITARIO DELLE ENTRATE'!J11</f>
        <v>9276.8</v>
      </c>
      <c r="L28" s="344">
        <f>J28-K28</f>
        <v>5000</v>
      </c>
      <c r="M28" s="317">
        <f>G28+K28</f>
        <v>189872.42108076854</v>
      </c>
      <c r="N28" s="168"/>
    </row>
    <row r="29" spans="1:13" ht="18.75" customHeight="1">
      <c r="A29" s="9"/>
      <c r="B29" s="66" t="s">
        <v>102</v>
      </c>
      <c r="C29" s="417">
        <f>SUM(C27:C28)</f>
        <v>15000</v>
      </c>
      <c r="D29" s="301">
        <f aca="true" t="shared" si="8" ref="D29:M29">SUM(D27:D28)</f>
        <v>168196.32000000004</v>
      </c>
      <c r="E29" s="301">
        <f t="shared" si="8"/>
        <v>183196.32000000004</v>
      </c>
      <c r="F29" s="301">
        <f t="shared" si="8"/>
        <v>183196.31733076856</v>
      </c>
      <c r="G29" s="301">
        <f t="shared" si="8"/>
        <v>180595.62108076856</v>
      </c>
      <c r="H29" s="301">
        <f t="shared" si="8"/>
        <v>2600.696250000008</v>
      </c>
      <c r="I29" s="465">
        <f t="shared" si="8"/>
        <v>0.0026692314713727683</v>
      </c>
      <c r="J29" s="345">
        <f t="shared" si="8"/>
        <v>14276.8</v>
      </c>
      <c r="K29" s="345">
        <f t="shared" si="8"/>
        <v>9276.8</v>
      </c>
      <c r="L29" s="345">
        <f t="shared" si="8"/>
        <v>5000</v>
      </c>
      <c r="M29" s="318">
        <f t="shared" si="8"/>
        <v>189872.42108076854</v>
      </c>
    </row>
    <row r="30" spans="1:13" ht="18.75" customHeight="1">
      <c r="A30" s="9"/>
      <c r="B30" s="67" t="s">
        <v>92</v>
      </c>
      <c r="C30" s="306">
        <f aca="true" t="shared" si="9" ref="C30:M30">C16+C21+C25+C29</f>
        <v>15000</v>
      </c>
      <c r="D30" s="306">
        <f t="shared" si="9"/>
        <v>173309.90000000002</v>
      </c>
      <c r="E30" s="306">
        <f t="shared" si="9"/>
        <v>188309.90000000002</v>
      </c>
      <c r="F30" s="306">
        <f t="shared" si="9"/>
        <v>188309.89733076855</v>
      </c>
      <c r="G30" s="306">
        <f t="shared" si="9"/>
        <v>185709.20108076854</v>
      </c>
      <c r="H30" s="306">
        <f t="shared" si="9"/>
        <v>2600.696250000008</v>
      </c>
      <c r="I30" s="467">
        <f t="shared" si="9"/>
        <v>0.0026692314713727683</v>
      </c>
      <c r="J30" s="347">
        <f t="shared" si="9"/>
        <v>14276.8</v>
      </c>
      <c r="K30" s="347">
        <f t="shared" si="9"/>
        <v>9276.8</v>
      </c>
      <c r="L30" s="347">
        <f t="shared" si="9"/>
        <v>5000</v>
      </c>
      <c r="M30" s="319">
        <f t="shared" si="9"/>
        <v>194986.00108076853</v>
      </c>
    </row>
    <row r="31" spans="1:13" s="15" customFormat="1" ht="18.75" customHeight="1">
      <c r="A31" s="12" t="s">
        <v>28</v>
      </c>
      <c r="B31" s="68" t="s">
        <v>103</v>
      </c>
      <c r="C31" s="243"/>
      <c r="D31" s="162"/>
      <c r="E31" s="163"/>
      <c r="F31" s="161"/>
      <c r="G31" s="162"/>
      <c r="H31" s="162"/>
      <c r="I31" s="468"/>
      <c r="J31" s="348"/>
      <c r="K31" s="349"/>
      <c r="L31" s="350"/>
      <c r="M31" s="320"/>
    </row>
    <row r="32" spans="1:13" ht="18.75" customHeight="1">
      <c r="A32" s="16" t="s">
        <v>29</v>
      </c>
      <c r="B32" s="62" t="s">
        <v>104</v>
      </c>
      <c r="C32" s="418"/>
      <c r="D32" s="164"/>
      <c r="E32" s="165"/>
      <c r="F32" s="302"/>
      <c r="G32" s="303"/>
      <c r="H32" s="298"/>
      <c r="I32" s="463"/>
      <c r="J32" s="342"/>
      <c r="K32" s="343"/>
      <c r="L32" s="344"/>
      <c r="M32" s="317"/>
    </row>
    <row r="33" spans="1:13" ht="15" customHeight="1">
      <c r="A33" s="20" t="s">
        <v>30</v>
      </c>
      <c r="B33" s="294" t="s">
        <v>177</v>
      </c>
      <c r="C33" s="73">
        <v>0</v>
      </c>
      <c r="D33" s="295">
        <v>0</v>
      </c>
      <c r="E33" s="296">
        <f>SUM(C33:D33)</f>
        <v>0</v>
      </c>
      <c r="F33" s="300">
        <v>0</v>
      </c>
      <c r="G33" s="295">
        <v>0</v>
      </c>
      <c r="H33" s="298">
        <f>F33-G33</f>
        <v>0</v>
      </c>
      <c r="I33" s="463">
        <f>E33-F33</f>
        <v>0</v>
      </c>
      <c r="J33" s="342">
        <v>0</v>
      </c>
      <c r="K33" s="343">
        <v>0</v>
      </c>
      <c r="L33" s="344">
        <f>J33-K33</f>
        <v>0</v>
      </c>
      <c r="M33" s="317">
        <f>G33+K33</f>
        <v>0</v>
      </c>
    </row>
    <row r="34" spans="1:13" ht="15" customHeight="1">
      <c r="A34" s="20" t="s">
        <v>31</v>
      </c>
      <c r="B34" s="294" t="s">
        <v>42</v>
      </c>
      <c r="C34" s="73">
        <v>0</v>
      </c>
      <c r="D34" s="295">
        <v>0</v>
      </c>
      <c r="E34" s="296">
        <f>SUM(C34:D34)</f>
        <v>0</v>
      </c>
      <c r="F34" s="300">
        <v>0</v>
      </c>
      <c r="G34" s="295">
        <v>0</v>
      </c>
      <c r="H34" s="298">
        <f>F34-G34</f>
        <v>0</v>
      </c>
      <c r="I34" s="463">
        <f>E34-F34</f>
        <v>0</v>
      </c>
      <c r="J34" s="342">
        <v>0</v>
      </c>
      <c r="K34" s="343">
        <v>0</v>
      </c>
      <c r="L34" s="344">
        <f>J34-K34</f>
        <v>0</v>
      </c>
      <c r="M34" s="317">
        <f>G34+K34</f>
        <v>0</v>
      </c>
    </row>
    <row r="35" spans="1:13" ht="15" customHeight="1">
      <c r="A35" s="20" t="s">
        <v>32</v>
      </c>
      <c r="B35" s="294" t="s">
        <v>178</v>
      </c>
      <c r="C35" s="73">
        <v>0</v>
      </c>
      <c r="D35" s="295">
        <v>0</v>
      </c>
      <c r="E35" s="296">
        <f>SUM(C35:D35)</f>
        <v>0</v>
      </c>
      <c r="F35" s="300">
        <v>0</v>
      </c>
      <c r="G35" s="295">
        <v>0</v>
      </c>
      <c r="H35" s="298">
        <f>F35-G35</f>
        <v>0</v>
      </c>
      <c r="I35" s="463">
        <f>E35-F35</f>
        <v>0</v>
      </c>
      <c r="J35" s="342">
        <v>0</v>
      </c>
      <c r="K35" s="343">
        <v>0</v>
      </c>
      <c r="L35" s="344">
        <f>J35-K35</f>
        <v>0</v>
      </c>
      <c r="M35" s="317">
        <f>G35+K35</f>
        <v>0</v>
      </c>
    </row>
    <row r="36" spans="1:13" ht="15" customHeight="1">
      <c r="A36" s="20" t="s">
        <v>33</v>
      </c>
      <c r="B36" s="294" t="s">
        <v>2</v>
      </c>
      <c r="C36" s="73">
        <v>0</v>
      </c>
      <c r="D36" s="295">
        <v>0</v>
      </c>
      <c r="E36" s="296">
        <f>SUM(C36:D36)</f>
        <v>0</v>
      </c>
      <c r="F36" s="300">
        <v>0</v>
      </c>
      <c r="G36" s="295">
        <v>0</v>
      </c>
      <c r="H36" s="298">
        <f>F36-G36</f>
        <v>0</v>
      </c>
      <c r="I36" s="463">
        <f>E36-F36</f>
        <v>0</v>
      </c>
      <c r="J36" s="342">
        <v>0</v>
      </c>
      <c r="K36" s="343">
        <v>0</v>
      </c>
      <c r="L36" s="344">
        <f>J36-K36</f>
        <v>0</v>
      </c>
      <c r="M36" s="317">
        <f>G36+K36</f>
        <v>0</v>
      </c>
    </row>
    <row r="37" spans="1:13" ht="15" customHeight="1">
      <c r="A37" s="20" t="s">
        <v>34</v>
      </c>
      <c r="B37" s="294" t="s">
        <v>179</v>
      </c>
      <c r="C37" s="416">
        <v>0</v>
      </c>
      <c r="D37" s="307">
        <v>0</v>
      </c>
      <c r="E37" s="296">
        <f>SUM(C37:D37)</f>
        <v>0</v>
      </c>
      <c r="F37" s="308">
        <v>0</v>
      </c>
      <c r="G37" s="307">
        <v>0</v>
      </c>
      <c r="H37" s="298">
        <f>F37-G37</f>
        <v>0</v>
      </c>
      <c r="I37" s="463">
        <f>E37-F37</f>
        <v>0</v>
      </c>
      <c r="J37" s="342">
        <v>0</v>
      </c>
      <c r="K37" s="343">
        <v>0</v>
      </c>
      <c r="L37" s="344">
        <f>J37-K37</f>
        <v>0</v>
      </c>
      <c r="M37" s="317">
        <f>G37+K37</f>
        <v>0</v>
      </c>
    </row>
    <row r="38" spans="1:13" s="6" customFormat="1" ht="18.75" customHeight="1">
      <c r="A38" s="10"/>
      <c r="B38" s="69" t="s">
        <v>105</v>
      </c>
      <c r="C38" s="417">
        <v>0</v>
      </c>
      <c r="D38" s="301">
        <f aca="true" t="shared" si="10" ref="D38:M38">SUM(D33:D37)</f>
        <v>0</v>
      </c>
      <c r="E38" s="301">
        <f t="shared" si="10"/>
        <v>0</v>
      </c>
      <c r="F38" s="301">
        <f t="shared" si="10"/>
        <v>0</v>
      </c>
      <c r="G38" s="301">
        <f t="shared" si="10"/>
        <v>0</v>
      </c>
      <c r="H38" s="301">
        <f t="shared" si="10"/>
        <v>0</v>
      </c>
      <c r="I38" s="465">
        <f t="shared" si="10"/>
        <v>0</v>
      </c>
      <c r="J38" s="345">
        <f t="shared" si="10"/>
        <v>0</v>
      </c>
      <c r="K38" s="345">
        <f t="shared" si="10"/>
        <v>0</v>
      </c>
      <c r="L38" s="345">
        <f t="shared" si="10"/>
        <v>0</v>
      </c>
      <c r="M38" s="318">
        <f t="shared" si="10"/>
        <v>0</v>
      </c>
    </row>
    <row r="39" spans="1:13" ht="18.75" customHeight="1">
      <c r="A39" s="16" t="s">
        <v>35</v>
      </c>
      <c r="B39" s="62" t="s">
        <v>106</v>
      </c>
      <c r="C39" s="418"/>
      <c r="D39" s="164"/>
      <c r="E39" s="165"/>
      <c r="F39" s="302"/>
      <c r="G39" s="303"/>
      <c r="H39" s="298"/>
      <c r="I39" s="463"/>
      <c r="J39" s="342"/>
      <c r="K39" s="343"/>
      <c r="L39" s="344"/>
      <c r="M39" s="317"/>
    </row>
    <row r="40" spans="1:13" ht="15" customHeight="1">
      <c r="A40" s="20" t="s">
        <v>107</v>
      </c>
      <c r="B40" s="294" t="s">
        <v>180</v>
      </c>
      <c r="C40" s="73">
        <v>0</v>
      </c>
      <c r="D40" s="295">
        <v>0</v>
      </c>
      <c r="E40" s="296">
        <f>SUM(C40:D40)</f>
        <v>0</v>
      </c>
      <c r="F40" s="300">
        <v>0</v>
      </c>
      <c r="G40" s="295">
        <v>0</v>
      </c>
      <c r="H40" s="298">
        <f>F40-G40</f>
        <v>0</v>
      </c>
      <c r="I40" s="463">
        <f>E40-F40</f>
        <v>0</v>
      </c>
      <c r="J40" s="342">
        <v>0</v>
      </c>
      <c r="K40" s="343">
        <v>0</v>
      </c>
      <c r="L40" s="344">
        <f>J40-K40</f>
        <v>0</v>
      </c>
      <c r="M40" s="317">
        <f>G40+K40</f>
        <v>0</v>
      </c>
    </row>
    <row r="41" spans="1:13" ht="15" customHeight="1">
      <c r="A41" s="20" t="s">
        <v>36</v>
      </c>
      <c r="B41" s="294" t="s">
        <v>181</v>
      </c>
      <c r="C41" s="73">
        <v>0</v>
      </c>
      <c r="D41" s="295">
        <v>0</v>
      </c>
      <c r="E41" s="296">
        <f>SUM(C41:D41)</f>
        <v>0</v>
      </c>
      <c r="F41" s="300">
        <v>0</v>
      </c>
      <c r="G41" s="295">
        <v>0</v>
      </c>
      <c r="H41" s="298">
        <f>F41-G41</f>
        <v>0</v>
      </c>
      <c r="I41" s="463">
        <f>E41-F41</f>
        <v>0</v>
      </c>
      <c r="J41" s="342">
        <v>0</v>
      </c>
      <c r="K41" s="343">
        <v>0</v>
      </c>
      <c r="L41" s="344">
        <f>J41-K41</f>
        <v>0</v>
      </c>
      <c r="M41" s="317">
        <f>G41+K41</f>
        <v>0</v>
      </c>
    </row>
    <row r="42" spans="1:13" ht="15" customHeight="1">
      <c r="A42" s="20" t="s">
        <v>37</v>
      </c>
      <c r="B42" s="294" t="s">
        <v>182</v>
      </c>
      <c r="C42" s="73">
        <v>0</v>
      </c>
      <c r="D42" s="295">
        <v>0</v>
      </c>
      <c r="E42" s="296">
        <f>SUM(C42:D42)</f>
        <v>0</v>
      </c>
      <c r="F42" s="300">
        <v>0</v>
      </c>
      <c r="G42" s="295">
        <v>0</v>
      </c>
      <c r="H42" s="298">
        <f>F42-G42</f>
        <v>0</v>
      </c>
      <c r="I42" s="463">
        <f>E42-F42</f>
        <v>0</v>
      </c>
      <c r="J42" s="342">
        <v>0</v>
      </c>
      <c r="K42" s="343">
        <v>0</v>
      </c>
      <c r="L42" s="344">
        <f>J42-K42</f>
        <v>0</v>
      </c>
      <c r="M42" s="317">
        <f>G42+K42</f>
        <v>0</v>
      </c>
    </row>
    <row r="43" spans="1:13" ht="15" customHeight="1">
      <c r="A43" s="20" t="s">
        <v>38</v>
      </c>
      <c r="B43" s="294" t="s">
        <v>183</v>
      </c>
      <c r="C43" s="73">
        <v>0</v>
      </c>
      <c r="D43" s="295">
        <f>'variazioni di bilancio'!E4+'variazioni di bilancio'!E15+'variazioni di bilancio'!E21+'variazioni di bilancio'!E40+'variazioni di bilancio'!E43</f>
        <v>977471.31</v>
      </c>
      <c r="E43" s="296">
        <f>SUM(C43:D43)</f>
        <v>977471.31</v>
      </c>
      <c r="F43" s="295">
        <f>318813.81+222720+435937.5</f>
        <v>977471.31</v>
      </c>
      <c r="G43" s="295">
        <v>977471.31</v>
      </c>
      <c r="H43" s="298">
        <f>F43-G43</f>
        <v>0</v>
      </c>
      <c r="I43" s="464">
        <f>E43-F43</f>
        <v>0</v>
      </c>
      <c r="J43" s="342">
        <f>accertamenti!E11+accertamenti!E16</f>
        <v>161077.5</v>
      </c>
      <c r="K43" s="343">
        <v>0</v>
      </c>
      <c r="L43" s="344">
        <f>J43-K43</f>
        <v>161077.5</v>
      </c>
      <c r="M43" s="317">
        <f>G43+K43</f>
        <v>977471.31</v>
      </c>
    </row>
    <row r="44" spans="1:13" ht="15" customHeight="1">
      <c r="A44" s="20" t="s">
        <v>39</v>
      </c>
      <c r="B44" s="294" t="s">
        <v>184</v>
      </c>
      <c r="C44" s="416">
        <v>0</v>
      </c>
      <c r="D44" s="307">
        <v>0</v>
      </c>
      <c r="E44" s="296">
        <f>SUM(C44:D44)</f>
        <v>0</v>
      </c>
      <c r="F44" s="308">
        <v>0</v>
      </c>
      <c r="G44" s="307">
        <v>0</v>
      </c>
      <c r="H44" s="298">
        <f>F44-G44</f>
        <v>0</v>
      </c>
      <c r="I44" s="463">
        <f>E44-F44</f>
        <v>0</v>
      </c>
      <c r="J44" s="342">
        <v>0</v>
      </c>
      <c r="K44" s="343">
        <v>0</v>
      </c>
      <c r="L44" s="344">
        <f>J44-K44</f>
        <v>0</v>
      </c>
      <c r="M44" s="317">
        <f>G44+K44</f>
        <v>0</v>
      </c>
    </row>
    <row r="45" spans="1:13" ht="18.75" customHeight="1">
      <c r="A45" s="23" t="s">
        <v>88</v>
      </c>
      <c r="B45" s="69" t="s">
        <v>108</v>
      </c>
      <c r="C45" s="417">
        <v>0</v>
      </c>
      <c r="D45" s="301">
        <f aca="true" t="shared" si="11" ref="D45:M45">SUM(D40:D44)</f>
        <v>977471.31</v>
      </c>
      <c r="E45" s="301">
        <f t="shared" si="11"/>
        <v>977471.31</v>
      </c>
      <c r="F45" s="301">
        <f t="shared" si="11"/>
        <v>977471.31</v>
      </c>
      <c r="G45" s="301">
        <f t="shared" si="11"/>
        <v>977471.31</v>
      </c>
      <c r="H45" s="301">
        <f t="shared" si="11"/>
        <v>0</v>
      </c>
      <c r="I45" s="465">
        <f t="shared" si="11"/>
        <v>0</v>
      </c>
      <c r="J45" s="345">
        <f t="shared" si="11"/>
        <v>161077.5</v>
      </c>
      <c r="K45" s="345">
        <f t="shared" si="11"/>
        <v>0</v>
      </c>
      <c r="L45" s="345">
        <f t="shared" si="11"/>
        <v>161077.5</v>
      </c>
      <c r="M45" s="318">
        <f t="shared" si="11"/>
        <v>977471.31</v>
      </c>
    </row>
    <row r="46" spans="1:13" ht="18.75" customHeight="1">
      <c r="A46" s="8"/>
      <c r="B46" s="70" t="s">
        <v>109</v>
      </c>
      <c r="C46" s="415"/>
      <c r="D46" s="309"/>
      <c r="E46" s="310"/>
      <c r="F46" s="297"/>
      <c r="G46" s="298"/>
      <c r="H46" s="298"/>
      <c r="I46" s="463"/>
      <c r="J46" s="342"/>
      <c r="K46" s="343"/>
      <c r="L46" s="344"/>
      <c r="M46" s="317"/>
    </row>
    <row r="47" spans="1:13" ht="15" customHeight="1">
      <c r="A47" s="20" t="s">
        <v>110</v>
      </c>
      <c r="B47" s="294" t="s">
        <v>112</v>
      </c>
      <c r="C47" s="415">
        <v>0</v>
      </c>
      <c r="D47" s="295">
        <v>0</v>
      </c>
      <c r="E47" s="296">
        <f>SUM(C47:D47)</f>
        <v>0</v>
      </c>
      <c r="F47" s="297">
        <v>0</v>
      </c>
      <c r="G47" s="298">
        <v>0</v>
      </c>
      <c r="H47" s="298">
        <v>0</v>
      </c>
      <c r="I47" s="463">
        <f>E47-F47</f>
        <v>0</v>
      </c>
      <c r="J47" s="342">
        <v>0</v>
      </c>
      <c r="K47" s="343">
        <v>0</v>
      </c>
      <c r="L47" s="344">
        <f>J47-K47</f>
        <v>0</v>
      </c>
      <c r="M47" s="317">
        <f>G46+K46</f>
        <v>0</v>
      </c>
    </row>
    <row r="48" spans="1:13" ht="15" customHeight="1">
      <c r="A48" s="20" t="s">
        <v>111</v>
      </c>
      <c r="B48" s="294" t="s">
        <v>113</v>
      </c>
      <c r="C48" s="415">
        <v>0</v>
      </c>
      <c r="D48" s="295">
        <v>0</v>
      </c>
      <c r="E48" s="296">
        <f>SUM(C48:D48)</f>
        <v>0</v>
      </c>
      <c r="F48" s="297">
        <v>0</v>
      </c>
      <c r="G48" s="298">
        <v>0</v>
      </c>
      <c r="H48" s="298">
        <v>0</v>
      </c>
      <c r="I48" s="463">
        <f>E48-F48</f>
        <v>0</v>
      </c>
      <c r="J48" s="342">
        <v>0</v>
      </c>
      <c r="K48" s="343">
        <v>0</v>
      </c>
      <c r="L48" s="344">
        <f>J48-K48</f>
        <v>0</v>
      </c>
      <c r="M48" s="317">
        <f>G47+K47</f>
        <v>0</v>
      </c>
    </row>
    <row r="49" spans="1:13" ht="18.75" customHeight="1">
      <c r="A49" s="20" t="s">
        <v>88</v>
      </c>
      <c r="B49" s="63" t="s">
        <v>114</v>
      </c>
      <c r="C49" s="417">
        <v>0</v>
      </c>
      <c r="D49" s="301">
        <f aca="true" t="shared" si="12" ref="D49:M49">SUM(D47:D48)</f>
        <v>0</v>
      </c>
      <c r="E49" s="301">
        <f t="shared" si="12"/>
        <v>0</v>
      </c>
      <c r="F49" s="301">
        <f t="shared" si="12"/>
        <v>0</v>
      </c>
      <c r="G49" s="301">
        <f t="shared" si="12"/>
        <v>0</v>
      </c>
      <c r="H49" s="301">
        <f t="shared" si="12"/>
        <v>0</v>
      </c>
      <c r="I49" s="465">
        <f t="shared" si="12"/>
        <v>0</v>
      </c>
      <c r="J49" s="345">
        <f t="shared" si="12"/>
        <v>0</v>
      </c>
      <c r="K49" s="345">
        <f t="shared" si="12"/>
        <v>0</v>
      </c>
      <c r="L49" s="345">
        <f t="shared" si="12"/>
        <v>0</v>
      </c>
      <c r="M49" s="318">
        <f t="shared" si="12"/>
        <v>0</v>
      </c>
    </row>
    <row r="50" spans="1:13" s="6" customFormat="1" ht="18.75" customHeight="1">
      <c r="A50" s="21"/>
      <c r="B50" s="67" t="s">
        <v>119</v>
      </c>
      <c r="C50" s="417">
        <v>0</v>
      </c>
      <c r="D50" s="301">
        <f aca="true" t="shared" si="13" ref="D50:M50">D38+D45+D49</f>
        <v>977471.31</v>
      </c>
      <c r="E50" s="301">
        <f t="shared" si="13"/>
        <v>977471.31</v>
      </c>
      <c r="F50" s="301">
        <f t="shared" si="13"/>
        <v>977471.31</v>
      </c>
      <c r="G50" s="301">
        <f t="shared" si="13"/>
        <v>977471.31</v>
      </c>
      <c r="H50" s="301">
        <f t="shared" si="13"/>
        <v>0</v>
      </c>
      <c r="I50" s="465">
        <f t="shared" si="13"/>
        <v>0</v>
      </c>
      <c r="J50" s="345">
        <f t="shared" si="13"/>
        <v>161077.5</v>
      </c>
      <c r="K50" s="345">
        <f t="shared" si="13"/>
        <v>0</v>
      </c>
      <c r="L50" s="345">
        <f t="shared" si="13"/>
        <v>161077.5</v>
      </c>
      <c r="M50" s="318">
        <f t="shared" si="13"/>
        <v>977471.31</v>
      </c>
    </row>
    <row r="51" spans="1:14" s="17" customFormat="1" ht="18.75" customHeight="1">
      <c r="A51" s="16" t="s">
        <v>40</v>
      </c>
      <c r="B51" s="71" t="s">
        <v>43</v>
      </c>
      <c r="C51" s="244"/>
      <c r="D51" s="159"/>
      <c r="E51" s="160"/>
      <c r="F51" s="166"/>
      <c r="G51" s="159"/>
      <c r="H51" s="164"/>
      <c r="I51" s="469"/>
      <c r="J51" s="351"/>
      <c r="K51" s="352"/>
      <c r="L51" s="353"/>
      <c r="M51" s="321"/>
      <c r="N51" s="1"/>
    </row>
    <row r="52" spans="1:13" ht="15" customHeight="1">
      <c r="A52" s="20" t="s">
        <v>41</v>
      </c>
      <c r="B52" s="294" t="s">
        <v>1</v>
      </c>
      <c r="C52" s="73">
        <v>0</v>
      </c>
      <c r="D52" s="295">
        <v>0</v>
      </c>
      <c r="E52" s="296">
        <f>SUM(C52:D52)</f>
        <v>0</v>
      </c>
      <c r="F52" s="300">
        <v>0</v>
      </c>
      <c r="G52" s="298">
        <v>0</v>
      </c>
      <c r="H52" s="298">
        <f>F52-G52</f>
        <v>0</v>
      </c>
      <c r="I52" s="463">
        <f>E52-F52</f>
        <v>0</v>
      </c>
      <c r="J52" s="342">
        <v>0</v>
      </c>
      <c r="K52" s="343">
        <v>0</v>
      </c>
      <c r="L52" s="344">
        <f>J52-K52</f>
        <v>0</v>
      </c>
      <c r="M52" s="317">
        <f>G52+K52</f>
        <v>0</v>
      </c>
    </row>
    <row r="53" spans="1:13" ht="15" customHeight="1">
      <c r="A53" s="20" t="s">
        <v>115</v>
      </c>
      <c r="B53" s="294" t="s">
        <v>0</v>
      </c>
      <c r="C53" s="73">
        <v>0</v>
      </c>
      <c r="D53" s="295">
        <f>'variazioni di bilancio'!E58</f>
        <v>4184.92</v>
      </c>
      <c r="E53" s="296">
        <f>SUM(C53:D53)</f>
        <v>4184.92</v>
      </c>
      <c r="F53" s="300">
        <f>accertamenti!D51+accertamenti!D52+accertamenti!D53+accertamenti!D56+'PARTITARIO DELLE ENTRATE'!J49</f>
        <v>4184.92</v>
      </c>
      <c r="G53" s="295">
        <f>'PARTITARIO DELLE ENTRATE'!J49</f>
        <v>2264.92</v>
      </c>
      <c r="H53" s="298">
        <f>F53-G53</f>
        <v>1920</v>
      </c>
      <c r="I53" s="464">
        <f>E53-F53</f>
        <v>0</v>
      </c>
      <c r="J53" s="342">
        <f>accertamenti!E5+accertamenti!D43+accertamenti!D44+accertamenti!D45</f>
        <v>1110.13</v>
      </c>
      <c r="K53" s="343">
        <v>1110</v>
      </c>
      <c r="L53" s="344">
        <f>J53-K53</f>
        <v>0.13000000000010914</v>
      </c>
      <c r="M53" s="317">
        <f>G53+K53</f>
        <v>3374.92</v>
      </c>
    </row>
    <row r="54" spans="1:13" ht="15" customHeight="1">
      <c r="A54" s="20" t="s">
        <v>116</v>
      </c>
      <c r="B54" s="294" t="s">
        <v>44</v>
      </c>
      <c r="C54" s="73">
        <v>0</v>
      </c>
      <c r="D54" s="295">
        <v>0</v>
      </c>
      <c r="E54" s="296">
        <f>SUM(C54:D54)</f>
        <v>0</v>
      </c>
      <c r="F54" s="300">
        <v>0</v>
      </c>
      <c r="G54" s="300">
        <v>0</v>
      </c>
      <c r="H54" s="298">
        <f>F54-G54</f>
        <v>0</v>
      </c>
      <c r="I54" s="464">
        <f>E54-F54</f>
        <v>0</v>
      </c>
      <c r="J54" s="342">
        <f>accertamenti!E6+accertamenti!E27</f>
        <v>11.459999999999999</v>
      </c>
      <c r="K54" s="343">
        <v>0</v>
      </c>
      <c r="L54" s="344">
        <f>J54-K54</f>
        <v>11.459999999999999</v>
      </c>
      <c r="M54" s="317">
        <f>G54+K54</f>
        <v>0</v>
      </c>
    </row>
    <row r="55" spans="1:13" ht="15" customHeight="1">
      <c r="A55" s="20" t="s">
        <v>117</v>
      </c>
      <c r="B55" s="294" t="s">
        <v>171</v>
      </c>
      <c r="C55" s="73">
        <v>0</v>
      </c>
      <c r="D55" s="295">
        <v>0</v>
      </c>
      <c r="E55" s="296">
        <f>SUM(C55:D55)</f>
        <v>0</v>
      </c>
      <c r="F55" s="300">
        <v>0</v>
      </c>
      <c r="G55" s="300">
        <v>0</v>
      </c>
      <c r="H55" s="298">
        <f>F55-G55</f>
        <v>0</v>
      </c>
      <c r="I55" s="464">
        <f>E55-F55</f>
        <v>0</v>
      </c>
      <c r="J55" s="342">
        <f>accertamenti!E7+accertamenti!E28+accertamenti!E46</f>
        <v>67.04</v>
      </c>
      <c r="K55" s="343">
        <v>0</v>
      </c>
      <c r="L55" s="344">
        <f>J55-K55</f>
        <v>67.04</v>
      </c>
      <c r="M55" s="317">
        <f>G55+K55</f>
        <v>0</v>
      </c>
    </row>
    <row r="56" spans="1:13" ht="15" customHeight="1">
      <c r="A56" s="20" t="s">
        <v>118</v>
      </c>
      <c r="B56" s="294" t="s">
        <v>172</v>
      </c>
      <c r="C56" s="416">
        <v>0</v>
      </c>
      <c r="D56" s="295">
        <v>0</v>
      </c>
      <c r="E56" s="296">
        <f>SUM(C56:D56)</f>
        <v>0</v>
      </c>
      <c r="F56" s="308">
        <v>0</v>
      </c>
      <c r="G56" s="305">
        <v>0</v>
      </c>
      <c r="H56" s="298">
        <f>F56-G56</f>
        <v>0</v>
      </c>
      <c r="I56" s="463">
        <f>E56-F56</f>
        <v>0</v>
      </c>
      <c r="J56" s="342">
        <v>0</v>
      </c>
      <c r="K56" s="343">
        <v>0</v>
      </c>
      <c r="L56" s="344">
        <f>J56-K56</f>
        <v>0</v>
      </c>
      <c r="M56" s="317">
        <f>G56+K56</f>
        <v>0</v>
      </c>
    </row>
    <row r="57" spans="1:14" ht="18.75" customHeight="1">
      <c r="A57" s="8"/>
      <c r="B57" s="72" t="s">
        <v>120</v>
      </c>
      <c r="C57" s="417">
        <v>0</v>
      </c>
      <c r="D57" s="301">
        <f aca="true" t="shared" si="14" ref="D57:M57">SUM(D52:D56)</f>
        <v>4184.92</v>
      </c>
      <c r="E57" s="301">
        <f t="shared" si="14"/>
        <v>4184.92</v>
      </c>
      <c r="F57" s="301">
        <f t="shared" si="14"/>
        <v>4184.92</v>
      </c>
      <c r="G57" s="301">
        <f t="shared" si="14"/>
        <v>2264.92</v>
      </c>
      <c r="H57" s="301">
        <f t="shared" si="14"/>
        <v>1920</v>
      </c>
      <c r="I57" s="465">
        <f t="shared" si="14"/>
        <v>0</v>
      </c>
      <c r="J57" s="345">
        <f t="shared" si="14"/>
        <v>1188.63</v>
      </c>
      <c r="K57" s="345">
        <f t="shared" si="14"/>
        <v>1110</v>
      </c>
      <c r="L57" s="345">
        <f t="shared" si="14"/>
        <v>78.63000000000011</v>
      </c>
      <c r="M57" s="318">
        <f t="shared" si="14"/>
        <v>3374.92</v>
      </c>
      <c r="N57" s="3"/>
    </row>
    <row r="58" spans="1:13" s="28" customFormat="1" ht="18.75" customHeight="1" thickBot="1">
      <c r="A58" s="27"/>
      <c r="B58" s="355" t="s">
        <v>45</v>
      </c>
      <c r="C58" s="354">
        <f aca="true" t="shared" si="15" ref="C58:M58">C7+C30+C50+C57</f>
        <v>27000</v>
      </c>
      <c r="D58" s="354">
        <f t="shared" si="15"/>
        <v>1265193.47</v>
      </c>
      <c r="E58" s="354">
        <f t="shared" si="15"/>
        <v>1292193.47</v>
      </c>
      <c r="F58" s="354">
        <f t="shared" si="15"/>
        <v>1169966.1273307686</v>
      </c>
      <c r="G58" s="354">
        <f t="shared" si="15"/>
        <v>1165445.4310807686</v>
      </c>
      <c r="H58" s="354">
        <f t="shared" si="15"/>
        <v>4520.696250000008</v>
      </c>
      <c r="I58" s="470">
        <f>I7+I30+I50+I57</f>
        <v>0.0026692314713727683</v>
      </c>
      <c r="J58" s="354">
        <f t="shared" si="15"/>
        <v>176542.93</v>
      </c>
      <c r="K58" s="354">
        <f t="shared" si="15"/>
        <v>10386.8</v>
      </c>
      <c r="L58" s="354">
        <f t="shared" si="15"/>
        <v>166156.13</v>
      </c>
      <c r="M58" s="354">
        <f t="shared" si="15"/>
        <v>1175832.2310807686</v>
      </c>
    </row>
    <row r="59" spans="1:12" s="11" customFormat="1" ht="18.75" customHeight="1">
      <c r="A59" s="18"/>
      <c r="C59" s="38"/>
      <c r="D59" s="19"/>
      <c r="E59" s="19"/>
      <c r="F59" s="47"/>
      <c r="I59" s="471"/>
      <c r="L59" s="19">
        <f>L58+H58</f>
        <v>170676.82625</v>
      </c>
    </row>
    <row r="60" spans="1:13" s="11" customFormat="1" ht="18.75" customHeight="1">
      <c r="A60" s="18"/>
      <c r="C60" s="38"/>
      <c r="D60" s="19"/>
      <c r="E60" s="19"/>
      <c r="F60" s="47"/>
      <c r="G60" s="19"/>
      <c r="I60" s="471"/>
      <c r="L60" s="447"/>
      <c r="M60" s="19"/>
    </row>
    <row r="61" spans="1:13" s="11" customFormat="1" ht="18.75" customHeight="1">
      <c r="A61" s="18"/>
      <c r="C61" s="38"/>
      <c r="D61" s="19"/>
      <c r="E61" s="19"/>
      <c r="F61" s="47"/>
      <c r="I61" s="471"/>
      <c r="M61" s="19"/>
    </row>
    <row r="62" spans="3:9" s="11" customFormat="1" ht="18.75" customHeight="1">
      <c r="C62" s="39"/>
      <c r="F62" s="39"/>
      <c r="I62" s="471"/>
    </row>
    <row r="63" spans="1:9" s="11" customFormat="1" ht="18.75" customHeight="1">
      <c r="A63" s="18"/>
      <c r="C63" s="38"/>
      <c r="D63" s="19"/>
      <c r="E63" s="19"/>
      <c r="F63" s="47"/>
      <c r="I63" s="471"/>
    </row>
    <row r="64" spans="3:9" s="11" customFormat="1" ht="18.75" customHeight="1">
      <c r="C64" s="38"/>
      <c r="D64" s="19"/>
      <c r="E64" s="19"/>
      <c r="F64" s="47"/>
      <c r="I64" s="471"/>
    </row>
    <row r="65" spans="3:9" s="11" customFormat="1" ht="18.75" customHeight="1">
      <c r="C65" s="38"/>
      <c r="D65" s="19"/>
      <c r="E65" s="19"/>
      <c r="F65" s="47"/>
      <c r="I65" s="471"/>
    </row>
    <row r="66" spans="3:9" s="11" customFormat="1" ht="18.75" customHeight="1">
      <c r="C66" s="40"/>
      <c r="F66" s="39"/>
      <c r="I66" s="471"/>
    </row>
    <row r="67" spans="3:9" s="11" customFormat="1" ht="18.75" customHeight="1">
      <c r="C67" s="38"/>
      <c r="D67" s="19"/>
      <c r="E67" s="19"/>
      <c r="F67" s="47"/>
      <c r="I67" s="471"/>
    </row>
    <row r="68" spans="3:9" s="11" customFormat="1" ht="13.5">
      <c r="C68" s="38"/>
      <c r="D68" s="19"/>
      <c r="E68" s="19"/>
      <c r="F68" s="47"/>
      <c r="I68" s="471"/>
    </row>
    <row r="69" spans="3:9" s="11" customFormat="1" ht="13.5">
      <c r="C69" s="38"/>
      <c r="D69" s="19"/>
      <c r="E69" s="19"/>
      <c r="F69" s="47"/>
      <c r="I69" s="471"/>
    </row>
    <row r="70" spans="3:9" s="11" customFormat="1" ht="13.5">
      <c r="C70" s="38"/>
      <c r="D70" s="19"/>
      <c r="E70" s="19"/>
      <c r="F70" s="47"/>
      <c r="I70" s="471"/>
    </row>
    <row r="71" spans="3:9" s="11" customFormat="1" ht="13.5">
      <c r="C71" s="38"/>
      <c r="D71" s="19"/>
      <c r="E71" s="19"/>
      <c r="F71" s="47"/>
      <c r="I71" s="471"/>
    </row>
    <row r="72" spans="3:9" s="11" customFormat="1" ht="13.5">
      <c r="C72" s="38"/>
      <c r="D72" s="19"/>
      <c r="E72" s="19"/>
      <c r="F72" s="47"/>
      <c r="I72" s="471"/>
    </row>
    <row r="73" spans="3:9" s="11" customFormat="1" ht="13.5">
      <c r="C73" s="38"/>
      <c r="D73" s="19"/>
      <c r="E73" s="19"/>
      <c r="F73" s="47"/>
      <c r="I73" s="471"/>
    </row>
    <row r="74" spans="3:9" s="11" customFormat="1" ht="13.5">
      <c r="C74" s="38"/>
      <c r="D74" s="19"/>
      <c r="E74" s="19"/>
      <c r="F74" s="47"/>
      <c r="I74" s="471"/>
    </row>
    <row r="75" spans="3:9" s="11" customFormat="1" ht="13.5">
      <c r="C75" s="38"/>
      <c r="D75" s="19"/>
      <c r="E75" s="19"/>
      <c r="F75" s="47"/>
      <c r="I75" s="471"/>
    </row>
    <row r="76" spans="3:9" s="11" customFormat="1" ht="13.5">
      <c r="C76" s="38"/>
      <c r="D76" s="19"/>
      <c r="E76" s="19"/>
      <c r="F76" s="47"/>
      <c r="I76" s="471"/>
    </row>
    <row r="77" spans="3:9" s="11" customFormat="1" ht="13.5">
      <c r="C77" s="38"/>
      <c r="D77" s="19"/>
      <c r="E77" s="19"/>
      <c r="F77" s="47"/>
      <c r="I77" s="471"/>
    </row>
    <row r="78" spans="3:9" s="11" customFormat="1" ht="13.5">
      <c r="C78" s="38"/>
      <c r="D78" s="19"/>
      <c r="E78" s="19"/>
      <c r="F78" s="47"/>
      <c r="I78" s="471"/>
    </row>
    <row r="79" spans="3:9" s="11" customFormat="1" ht="13.5">
      <c r="C79" s="38"/>
      <c r="D79" s="19"/>
      <c r="E79" s="19"/>
      <c r="F79" s="47"/>
      <c r="I79" s="471"/>
    </row>
    <row r="80" spans="3:9" s="11" customFormat="1" ht="13.5">
      <c r="C80" s="38"/>
      <c r="D80" s="19"/>
      <c r="E80" s="19"/>
      <c r="F80" s="47"/>
      <c r="I80" s="471"/>
    </row>
    <row r="81" spans="3:9" s="11" customFormat="1" ht="13.5">
      <c r="C81" s="38"/>
      <c r="D81" s="19"/>
      <c r="E81" s="19"/>
      <c r="F81" s="47"/>
      <c r="I81" s="471"/>
    </row>
    <row r="82" spans="3:9" s="11" customFormat="1" ht="13.5">
      <c r="C82" s="38"/>
      <c r="D82" s="19"/>
      <c r="E82" s="19"/>
      <c r="F82" s="47"/>
      <c r="I82" s="471"/>
    </row>
    <row r="83" spans="3:9" s="11" customFormat="1" ht="13.5">
      <c r="C83" s="38"/>
      <c r="D83" s="19"/>
      <c r="E83" s="19"/>
      <c r="F83" s="47"/>
      <c r="I83" s="471"/>
    </row>
    <row r="84" spans="3:9" s="11" customFormat="1" ht="13.5">
      <c r="C84" s="38"/>
      <c r="D84" s="19"/>
      <c r="E84" s="19"/>
      <c r="F84" s="47"/>
      <c r="I84" s="471"/>
    </row>
    <row r="85" spans="3:9" s="11" customFormat="1" ht="13.5">
      <c r="C85" s="38"/>
      <c r="D85" s="19"/>
      <c r="E85" s="19"/>
      <c r="F85" s="47"/>
      <c r="I85" s="471"/>
    </row>
    <row r="86" spans="3:9" s="11" customFormat="1" ht="13.5">
      <c r="C86" s="38"/>
      <c r="D86" s="19"/>
      <c r="E86" s="19"/>
      <c r="F86" s="47"/>
      <c r="I86" s="471"/>
    </row>
    <row r="87" spans="3:9" s="11" customFormat="1" ht="13.5">
      <c r="C87" s="38"/>
      <c r="D87" s="19"/>
      <c r="E87" s="19"/>
      <c r="F87" s="47"/>
      <c r="I87" s="471"/>
    </row>
    <row r="88" spans="3:9" s="11" customFormat="1" ht="13.5">
      <c r="C88" s="38"/>
      <c r="D88" s="19"/>
      <c r="E88" s="19"/>
      <c r="F88" s="47"/>
      <c r="I88" s="471"/>
    </row>
    <row r="89" spans="3:9" s="11" customFormat="1" ht="13.5">
      <c r="C89" s="38"/>
      <c r="D89" s="19"/>
      <c r="E89" s="19"/>
      <c r="F89" s="47"/>
      <c r="I89" s="471"/>
    </row>
    <row r="90" spans="3:9" s="11" customFormat="1" ht="13.5">
      <c r="C90" s="38"/>
      <c r="D90" s="19"/>
      <c r="E90" s="19"/>
      <c r="F90" s="47"/>
      <c r="I90" s="471"/>
    </row>
    <row r="91" spans="3:9" s="11" customFormat="1" ht="13.5">
      <c r="C91" s="38"/>
      <c r="D91" s="19"/>
      <c r="E91" s="19"/>
      <c r="F91" s="47"/>
      <c r="I91" s="471"/>
    </row>
    <row r="92" spans="3:9" s="11" customFormat="1" ht="13.5">
      <c r="C92" s="38"/>
      <c r="D92" s="19"/>
      <c r="E92" s="19"/>
      <c r="F92" s="47"/>
      <c r="I92" s="471"/>
    </row>
    <row r="93" spans="3:9" s="11" customFormat="1" ht="13.5">
      <c r="C93" s="38"/>
      <c r="D93" s="19"/>
      <c r="E93" s="19"/>
      <c r="F93" s="47"/>
      <c r="I93" s="471"/>
    </row>
    <row r="94" spans="3:9" s="11" customFormat="1" ht="13.5">
      <c r="C94" s="38"/>
      <c r="D94" s="19"/>
      <c r="E94" s="19"/>
      <c r="F94" s="47"/>
      <c r="I94" s="471"/>
    </row>
    <row r="95" spans="3:9" s="11" customFormat="1" ht="13.5">
      <c r="C95" s="38"/>
      <c r="D95" s="19"/>
      <c r="E95" s="19"/>
      <c r="F95" s="47"/>
      <c r="I95" s="471"/>
    </row>
    <row r="96" spans="3:9" s="11" customFormat="1" ht="13.5">
      <c r="C96" s="38"/>
      <c r="D96" s="19"/>
      <c r="E96" s="19"/>
      <c r="F96" s="47"/>
      <c r="I96" s="471"/>
    </row>
    <row r="97" spans="3:9" s="11" customFormat="1" ht="13.5">
      <c r="C97" s="38"/>
      <c r="D97" s="19"/>
      <c r="E97" s="19"/>
      <c r="F97" s="47"/>
      <c r="I97" s="471"/>
    </row>
    <row r="98" spans="3:9" s="11" customFormat="1" ht="13.5">
      <c r="C98" s="38"/>
      <c r="D98" s="19"/>
      <c r="E98" s="19"/>
      <c r="F98" s="47"/>
      <c r="I98" s="471"/>
    </row>
    <row r="99" spans="3:9" s="11" customFormat="1" ht="13.5">
      <c r="C99" s="38"/>
      <c r="D99" s="19"/>
      <c r="E99" s="19"/>
      <c r="F99" s="47"/>
      <c r="I99" s="471"/>
    </row>
    <row r="100" spans="3:9" s="11" customFormat="1" ht="13.5">
      <c r="C100" s="38"/>
      <c r="D100" s="19"/>
      <c r="E100" s="19"/>
      <c r="F100" s="47"/>
      <c r="I100" s="471"/>
    </row>
    <row r="101" spans="3:9" s="11" customFormat="1" ht="13.5">
      <c r="C101" s="38"/>
      <c r="D101" s="19"/>
      <c r="E101" s="19"/>
      <c r="F101" s="47"/>
      <c r="I101" s="471"/>
    </row>
    <row r="102" spans="3:9" s="11" customFormat="1" ht="13.5">
      <c r="C102" s="38"/>
      <c r="D102" s="19"/>
      <c r="E102" s="19"/>
      <c r="F102" s="47"/>
      <c r="I102" s="471"/>
    </row>
    <row r="103" spans="3:9" s="11" customFormat="1" ht="13.5">
      <c r="C103" s="38"/>
      <c r="D103" s="19"/>
      <c r="E103" s="19"/>
      <c r="F103" s="47"/>
      <c r="I103" s="471"/>
    </row>
    <row r="104" spans="3:9" s="11" customFormat="1" ht="13.5">
      <c r="C104" s="38"/>
      <c r="D104" s="19"/>
      <c r="E104" s="19"/>
      <c r="F104" s="47"/>
      <c r="I104" s="471"/>
    </row>
    <row r="105" spans="3:9" s="11" customFormat="1" ht="13.5">
      <c r="C105" s="38"/>
      <c r="D105" s="19"/>
      <c r="E105" s="19"/>
      <c r="F105" s="47"/>
      <c r="I105" s="471"/>
    </row>
    <row r="106" spans="3:9" s="11" customFormat="1" ht="13.5">
      <c r="C106" s="38"/>
      <c r="D106" s="19"/>
      <c r="E106" s="19"/>
      <c r="F106" s="47"/>
      <c r="I106" s="471"/>
    </row>
    <row r="107" spans="3:9" s="11" customFormat="1" ht="13.5">
      <c r="C107" s="38"/>
      <c r="D107" s="19"/>
      <c r="E107" s="19"/>
      <c r="F107" s="47"/>
      <c r="I107" s="471"/>
    </row>
    <row r="108" spans="3:9" s="11" customFormat="1" ht="13.5">
      <c r="C108" s="38"/>
      <c r="D108" s="19"/>
      <c r="E108" s="19"/>
      <c r="F108" s="47"/>
      <c r="I108" s="471"/>
    </row>
    <row r="109" spans="3:9" s="11" customFormat="1" ht="13.5">
      <c r="C109" s="38"/>
      <c r="D109" s="19"/>
      <c r="E109" s="19"/>
      <c r="F109" s="47"/>
      <c r="I109" s="471"/>
    </row>
    <row r="110" spans="3:9" s="11" customFormat="1" ht="13.5">
      <c r="C110" s="38"/>
      <c r="D110" s="19"/>
      <c r="E110" s="19"/>
      <c r="F110" s="47"/>
      <c r="I110" s="471"/>
    </row>
    <row r="111" spans="3:9" s="11" customFormat="1" ht="13.5">
      <c r="C111" s="38"/>
      <c r="D111" s="19"/>
      <c r="E111" s="19"/>
      <c r="F111" s="47"/>
      <c r="I111" s="471"/>
    </row>
    <row r="112" spans="3:9" s="11" customFormat="1" ht="13.5">
      <c r="C112" s="38"/>
      <c r="D112" s="19"/>
      <c r="E112" s="19"/>
      <c r="F112" s="47"/>
      <c r="I112" s="471"/>
    </row>
    <row r="113" spans="3:9" s="11" customFormat="1" ht="13.5">
      <c r="C113" s="38"/>
      <c r="D113" s="19"/>
      <c r="E113" s="19"/>
      <c r="F113" s="47"/>
      <c r="I113" s="471"/>
    </row>
    <row r="114" spans="3:9" s="11" customFormat="1" ht="13.5">
      <c r="C114" s="38"/>
      <c r="D114" s="19"/>
      <c r="E114" s="19"/>
      <c r="F114" s="47"/>
      <c r="I114" s="471"/>
    </row>
    <row r="115" spans="3:9" s="11" customFormat="1" ht="13.5">
      <c r="C115" s="38"/>
      <c r="D115" s="19"/>
      <c r="E115" s="19"/>
      <c r="F115" s="47"/>
      <c r="I115" s="471"/>
    </row>
    <row r="116" spans="3:9" s="11" customFormat="1" ht="13.5">
      <c r="C116" s="38"/>
      <c r="D116" s="19"/>
      <c r="E116" s="19"/>
      <c r="F116" s="47"/>
      <c r="I116" s="471"/>
    </row>
    <row r="117" spans="3:9" s="11" customFormat="1" ht="13.5">
      <c r="C117" s="38"/>
      <c r="D117" s="19"/>
      <c r="E117" s="19"/>
      <c r="F117" s="47"/>
      <c r="I117" s="471"/>
    </row>
    <row r="118" spans="3:9" s="11" customFormat="1" ht="13.5">
      <c r="C118" s="38"/>
      <c r="D118" s="19"/>
      <c r="E118" s="19"/>
      <c r="F118" s="47"/>
      <c r="I118" s="471"/>
    </row>
    <row r="119" spans="3:9" s="11" customFormat="1" ht="13.5">
      <c r="C119" s="38"/>
      <c r="D119" s="19"/>
      <c r="E119" s="19"/>
      <c r="F119" s="47"/>
      <c r="I119" s="471"/>
    </row>
    <row r="120" spans="3:9" s="11" customFormat="1" ht="13.5">
      <c r="C120" s="38"/>
      <c r="D120" s="19"/>
      <c r="E120" s="19"/>
      <c r="F120" s="47"/>
      <c r="I120" s="471"/>
    </row>
    <row r="121" spans="3:9" s="11" customFormat="1" ht="13.5">
      <c r="C121" s="38"/>
      <c r="D121" s="19"/>
      <c r="E121" s="19"/>
      <c r="F121" s="47"/>
      <c r="I121" s="471"/>
    </row>
    <row r="122" spans="3:9" s="11" customFormat="1" ht="13.5">
      <c r="C122" s="38"/>
      <c r="D122" s="19"/>
      <c r="E122" s="19"/>
      <c r="F122" s="47"/>
      <c r="I122" s="471"/>
    </row>
    <row r="123" spans="3:9" s="11" customFormat="1" ht="13.5">
      <c r="C123" s="38"/>
      <c r="D123" s="19"/>
      <c r="E123" s="19"/>
      <c r="F123" s="47"/>
      <c r="I123" s="471"/>
    </row>
    <row r="124" spans="3:9" s="11" customFormat="1" ht="13.5">
      <c r="C124" s="38"/>
      <c r="D124" s="19"/>
      <c r="E124" s="19"/>
      <c r="F124" s="47"/>
      <c r="I124" s="471"/>
    </row>
    <row r="125" spans="3:9" s="11" customFormat="1" ht="13.5">
      <c r="C125" s="38"/>
      <c r="D125" s="19"/>
      <c r="E125" s="19"/>
      <c r="F125" s="47"/>
      <c r="I125" s="471"/>
    </row>
    <row r="126" spans="3:9" s="11" customFormat="1" ht="13.5">
      <c r="C126" s="38"/>
      <c r="D126" s="19"/>
      <c r="E126" s="19"/>
      <c r="F126" s="47"/>
      <c r="I126" s="471"/>
    </row>
    <row r="127" spans="3:9" s="11" customFormat="1" ht="13.5">
      <c r="C127" s="38"/>
      <c r="D127" s="19"/>
      <c r="E127" s="19"/>
      <c r="F127" s="47"/>
      <c r="I127" s="471"/>
    </row>
    <row r="128" spans="3:9" s="11" customFormat="1" ht="13.5">
      <c r="C128" s="38"/>
      <c r="D128" s="19"/>
      <c r="E128" s="19"/>
      <c r="F128" s="47"/>
      <c r="I128" s="471"/>
    </row>
    <row r="129" spans="3:9" s="11" customFormat="1" ht="13.5">
      <c r="C129" s="38"/>
      <c r="D129" s="19"/>
      <c r="E129" s="19"/>
      <c r="F129" s="47"/>
      <c r="I129" s="471"/>
    </row>
    <row r="130" spans="3:9" s="11" customFormat="1" ht="13.5">
      <c r="C130" s="38"/>
      <c r="D130" s="19"/>
      <c r="E130" s="19"/>
      <c r="F130" s="47"/>
      <c r="I130" s="471"/>
    </row>
    <row r="131" spans="3:9" s="11" customFormat="1" ht="13.5">
      <c r="C131" s="38"/>
      <c r="D131" s="19"/>
      <c r="E131" s="19"/>
      <c r="F131" s="47"/>
      <c r="I131" s="471"/>
    </row>
    <row r="132" spans="3:9" s="11" customFormat="1" ht="13.5">
      <c r="C132" s="38"/>
      <c r="D132" s="19"/>
      <c r="E132" s="19"/>
      <c r="F132" s="47"/>
      <c r="I132" s="471"/>
    </row>
    <row r="133" spans="3:9" s="11" customFormat="1" ht="13.5">
      <c r="C133" s="38"/>
      <c r="D133" s="19"/>
      <c r="E133" s="19"/>
      <c r="F133" s="47"/>
      <c r="I133" s="471"/>
    </row>
    <row r="134" spans="3:9" s="11" customFormat="1" ht="13.5">
      <c r="C134" s="38"/>
      <c r="D134" s="19"/>
      <c r="E134" s="19"/>
      <c r="F134" s="47"/>
      <c r="I134" s="471"/>
    </row>
    <row r="135" spans="3:9" s="11" customFormat="1" ht="13.5">
      <c r="C135" s="38"/>
      <c r="D135" s="19"/>
      <c r="E135" s="19"/>
      <c r="F135" s="47"/>
      <c r="I135" s="471"/>
    </row>
    <row r="136" spans="3:9" s="11" customFormat="1" ht="13.5">
      <c r="C136" s="38"/>
      <c r="D136" s="19"/>
      <c r="E136" s="19"/>
      <c r="F136" s="47"/>
      <c r="I136" s="471"/>
    </row>
    <row r="137" spans="3:9" s="11" customFormat="1" ht="13.5">
      <c r="C137" s="38"/>
      <c r="D137" s="19"/>
      <c r="E137" s="19"/>
      <c r="F137" s="47"/>
      <c r="I137" s="471"/>
    </row>
    <row r="138" spans="3:9" s="11" customFormat="1" ht="13.5">
      <c r="C138" s="38"/>
      <c r="D138" s="19"/>
      <c r="E138" s="19"/>
      <c r="F138" s="47"/>
      <c r="I138" s="471"/>
    </row>
    <row r="139" spans="3:9" s="11" customFormat="1" ht="13.5">
      <c r="C139" s="38"/>
      <c r="D139" s="19"/>
      <c r="E139" s="19"/>
      <c r="F139" s="47"/>
      <c r="I139" s="471"/>
    </row>
    <row r="140" spans="3:9" s="11" customFormat="1" ht="13.5">
      <c r="C140" s="38"/>
      <c r="D140" s="19"/>
      <c r="E140" s="19"/>
      <c r="F140" s="47"/>
      <c r="I140" s="471"/>
    </row>
    <row r="141" spans="3:9" s="11" customFormat="1" ht="13.5">
      <c r="C141" s="38"/>
      <c r="D141" s="19"/>
      <c r="E141" s="19"/>
      <c r="F141" s="47"/>
      <c r="I141" s="471"/>
    </row>
    <row r="142" spans="3:9" s="11" customFormat="1" ht="13.5">
      <c r="C142" s="38"/>
      <c r="D142" s="19"/>
      <c r="E142" s="19"/>
      <c r="F142" s="47"/>
      <c r="I142" s="471"/>
    </row>
    <row r="143" spans="3:9" s="11" customFormat="1" ht="13.5">
      <c r="C143" s="38"/>
      <c r="D143" s="19"/>
      <c r="E143" s="19"/>
      <c r="F143" s="47"/>
      <c r="I143" s="471"/>
    </row>
    <row r="144" spans="3:9" s="11" customFormat="1" ht="13.5">
      <c r="C144" s="38"/>
      <c r="D144" s="19"/>
      <c r="E144" s="19"/>
      <c r="F144" s="47"/>
      <c r="I144" s="471"/>
    </row>
    <row r="145" spans="3:9" s="11" customFormat="1" ht="13.5">
      <c r="C145" s="38"/>
      <c r="D145" s="19"/>
      <c r="E145" s="19"/>
      <c r="F145" s="47"/>
      <c r="I145" s="471"/>
    </row>
    <row r="146" spans="3:9" s="11" customFormat="1" ht="13.5">
      <c r="C146" s="38"/>
      <c r="D146" s="19"/>
      <c r="E146" s="19"/>
      <c r="F146" s="47"/>
      <c r="I146" s="471"/>
    </row>
    <row r="147" spans="3:9" s="11" customFormat="1" ht="13.5">
      <c r="C147" s="38"/>
      <c r="D147" s="19"/>
      <c r="E147" s="19"/>
      <c r="F147" s="47"/>
      <c r="I147" s="471"/>
    </row>
    <row r="148" spans="3:9" s="11" customFormat="1" ht="13.5">
      <c r="C148" s="38"/>
      <c r="D148" s="19"/>
      <c r="E148" s="19"/>
      <c r="F148" s="47"/>
      <c r="I148" s="471"/>
    </row>
    <row r="149" spans="3:9" s="11" customFormat="1" ht="13.5">
      <c r="C149" s="38"/>
      <c r="D149" s="19"/>
      <c r="E149" s="19"/>
      <c r="F149" s="47"/>
      <c r="I149" s="471"/>
    </row>
    <row r="150" spans="3:9" s="11" customFormat="1" ht="13.5">
      <c r="C150" s="38"/>
      <c r="D150" s="19"/>
      <c r="E150" s="19"/>
      <c r="F150" s="47"/>
      <c r="I150" s="471"/>
    </row>
    <row r="151" spans="3:9" s="11" customFormat="1" ht="13.5">
      <c r="C151" s="38"/>
      <c r="D151" s="19"/>
      <c r="E151" s="19"/>
      <c r="F151" s="47"/>
      <c r="I151" s="471"/>
    </row>
    <row r="152" spans="3:9" s="11" customFormat="1" ht="13.5">
      <c r="C152" s="38"/>
      <c r="D152" s="19"/>
      <c r="E152" s="19"/>
      <c r="F152" s="47"/>
      <c r="I152" s="471"/>
    </row>
    <row r="153" spans="3:9" s="11" customFormat="1" ht="13.5">
      <c r="C153" s="38"/>
      <c r="D153" s="19"/>
      <c r="E153" s="19"/>
      <c r="F153" s="47"/>
      <c r="I153" s="471"/>
    </row>
    <row r="154" spans="3:9" s="11" customFormat="1" ht="13.5">
      <c r="C154" s="38"/>
      <c r="D154" s="19"/>
      <c r="E154" s="19"/>
      <c r="F154" s="47"/>
      <c r="I154" s="471"/>
    </row>
    <row r="155" spans="3:9" s="11" customFormat="1" ht="13.5">
      <c r="C155" s="38"/>
      <c r="D155" s="19"/>
      <c r="E155" s="19"/>
      <c r="F155" s="47"/>
      <c r="I155" s="471"/>
    </row>
    <row r="156" spans="3:9" s="11" customFormat="1" ht="13.5">
      <c r="C156" s="38"/>
      <c r="D156" s="19"/>
      <c r="E156" s="19"/>
      <c r="F156" s="47"/>
      <c r="I156" s="471"/>
    </row>
    <row r="157" spans="3:9" s="11" customFormat="1" ht="13.5">
      <c r="C157" s="38"/>
      <c r="D157" s="19"/>
      <c r="E157" s="19"/>
      <c r="F157" s="47"/>
      <c r="I157" s="471"/>
    </row>
    <row r="158" spans="3:9" s="11" customFormat="1" ht="13.5">
      <c r="C158" s="38"/>
      <c r="D158" s="19"/>
      <c r="E158" s="19"/>
      <c r="F158" s="47"/>
      <c r="I158" s="471"/>
    </row>
    <row r="159" spans="3:9" s="11" customFormat="1" ht="13.5">
      <c r="C159" s="38"/>
      <c r="D159" s="19"/>
      <c r="E159" s="19"/>
      <c r="F159" s="47"/>
      <c r="I159" s="471"/>
    </row>
    <row r="160" spans="3:9" s="11" customFormat="1" ht="13.5">
      <c r="C160" s="38"/>
      <c r="D160" s="19"/>
      <c r="E160" s="19"/>
      <c r="F160" s="47"/>
      <c r="I160" s="471"/>
    </row>
    <row r="161" spans="3:9" s="11" customFormat="1" ht="13.5">
      <c r="C161" s="38"/>
      <c r="D161" s="19"/>
      <c r="E161" s="19"/>
      <c r="F161" s="47"/>
      <c r="I161" s="471"/>
    </row>
    <row r="162" spans="3:9" s="11" customFormat="1" ht="13.5">
      <c r="C162" s="38"/>
      <c r="D162" s="19"/>
      <c r="E162" s="19"/>
      <c r="F162" s="47"/>
      <c r="I162" s="471"/>
    </row>
    <row r="163" spans="3:9" s="11" customFormat="1" ht="13.5">
      <c r="C163" s="38"/>
      <c r="D163" s="19"/>
      <c r="E163" s="19"/>
      <c r="F163" s="47"/>
      <c r="I163" s="471"/>
    </row>
    <row r="164" spans="3:9" s="11" customFormat="1" ht="13.5">
      <c r="C164" s="38"/>
      <c r="D164" s="19"/>
      <c r="E164" s="19"/>
      <c r="F164" s="47"/>
      <c r="I164" s="471"/>
    </row>
    <row r="165" spans="3:9" s="11" customFormat="1" ht="13.5">
      <c r="C165" s="38"/>
      <c r="D165" s="19"/>
      <c r="E165" s="19"/>
      <c r="F165" s="47"/>
      <c r="I165" s="471"/>
    </row>
    <row r="166" spans="3:9" s="11" customFormat="1" ht="13.5">
      <c r="C166" s="38"/>
      <c r="D166" s="19"/>
      <c r="E166" s="19"/>
      <c r="F166" s="47"/>
      <c r="I166" s="471"/>
    </row>
    <row r="167" spans="3:9" s="11" customFormat="1" ht="13.5">
      <c r="C167" s="38"/>
      <c r="D167" s="19"/>
      <c r="E167" s="19"/>
      <c r="F167" s="47"/>
      <c r="I167" s="471"/>
    </row>
    <row r="168" spans="3:9" s="11" customFormat="1" ht="13.5">
      <c r="C168" s="38"/>
      <c r="D168" s="19"/>
      <c r="E168" s="19"/>
      <c r="F168" s="47"/>
      <c r="I168" s="471"/>
    </row>
    <row r="169" spans="3:9" s="11" customFormat="1" ht="13.5">
      <c r="C169" s="38"/>
      <c r="D169" s="19"/>
      <c r="E169" s="19"/>
      <c r="F169" s="47"/>
      <c r="I169" s="471"/>
    </row>
    <row r="170" spans="3:9" s="11" customFormat="1" ht="13.5">
      <c r="C170" s="38"/>
      <c r="D170" s="19"/>
      <c r="E170" s="19"/>
      <c r="F170" s="47"/>
      <c r="I170" s="471"/>
    </row>
    <row r="171" spans="3:9" s="11" customFormat="1" ht="13.5">
      <c r="C171" s="38"/>
      <c r="D171" s="19"/>
      <c r="E171" s="19"/>
      <c r="F171" s="47"/>
      <c r="I171" s="471"/>
    </row>
    <row r="172" spans="3:9" s="11" customFormat="1" ht="13.5">
      <c r="C172" s="38"/>
      <c r="D172" s="19"/>
      <c r="E172" s="19"/>
      <c r="F172" s="47"/>
      <c r="I172" s="471"/>
    </row>
    <row r="173" spans="3:9" s="11" customFormat="1" ht="13.5">
      <c r="C173" s="38"/>
      <c r="D173" s="19"/>
      <c r="E173" s="19"/>
      <c r="F173" s="47"/>
      <c r="I173" s="471"/>
    </row>
    <row r="174" spans="3:9" s="11" customFormat="1" ht="13.5">
      <c r="C174" s="38"/>
      <c r="D174" s="19"/>
      <c r="E174" s="19"/>
      <c r="F174" s="47"/>
      <c r="I174" s="471"/>
    </row>
    <row r="175" spans="3:9" s="11" customFormat="1" ht="13.5">
      <c r="C175" s="38"/>
      <c r="D175" s="19"/>
      <c r="E175" s="19"/>
      <c r="F175" s="47"/>
      <c r="I175" s="471"/>
    </row>
    <row r="176" spans="3:9" s="11" customFormat="1" ht="13.5">
      <c r="C176" s="38"/>
      <c r="D176" s="19"/>
      <c r="E176" s="19"/>
      <c r="F176" s="47"/>
      <c r="I176" s="471"/>
    </row>
    <row r="177" spans="3:9" s="11" customFormat="1" ht="13.5">
      <c r="C177" s="38"/>
      <c r="D177" s="19"/>
      <c r="E177" s="19"/>
      <c r="F177" s="47"/>
      <c r="I177" s="471"/>
    </row>
    <row r="178" spans="3:9" s="11" customFormat="1" ht="13.5">
      <c r="C178" s="38"/>
      <c r="D178" s="19"/>
      <c r="E178" s="19"/>
      <c r="F178" s="47"/>
      <c r="I178" s="471"/>
    </row>
    <row r="179" spans="3:9" s="11" customFormat="1" ht="13.5">
      <c r="C179" s="38"/>
      <c r="D179" s="19"/>
      <c r="E179" s="19"/>
      <c r="F179" s="47"/>
      <c r="I179" s="471"/>
    </row>
    <row r="180" spans="3:9" s="11" customFormat="1" ht="13.5">
      <c r="C180" s="38"/>
      <c r="D180" s="19"/>
      <c r="E180" s="19"/>
      <c r="F180" s="47"/>
      <c r="I180" s="471"/>
    </row>
    <row r="181" spans="3:9" s="11" customFormat="1" ht="13.5">
      <c r="C181" s="38"/>
      <c r="D181" s="19"/>
      <c r="E181" s="19"/>
      <c r="F181" s="47"/>
      <c r="I181" s="471"/>
    </row>
    <row r="182" spans="3:9" s="11" customFormat="1" ht="13.5">
      <c r="C182" s="38"/>
      <c r="D182" s="19"/>
      <c r="E182" s="19"/>
      <c r="F182" s="47"/>
      <c r="I182" s="471"/>
    </row>
    <row r="183" spans="3:9" s="11" customFormat="1" ht="13.5">
      <c r="C183" s="38"/>
      <c r="D183" s="19"/>
      <c r="E183" s="19"/>
      <c r="F183" s="47"/>
      <c r="I183" s="471"/>
    </row>
    <row r="184" spans="3:9" s="11" customFormat="1" ht="13.5">
      <c r="C184" s="38"/>
      <c r="D184" s="19"/>
      <c r="E184" s="19"/>
      <c r="F184" s="47"/>
      <c r="I184" s="471"/>
    </row>
    <row r="185" spans="3:9" s="11" customFormat="1" ht="13.5">
      <c r="C185" s="38"/>
      <c r="D185" s="19"/>
      <c r="E185" s="19"/>
      <c r="F185" s="47"/>
      <c r="I185" s="471"/>
    </row>
    <row r="186" spans="3:9" s="11" customFormat="1" ht="13.5">
      <c r="C186" s="38"/>
      <c r="D186" s="19"/>
      <c r="E186" s="19"/>
      <c r="F186" s="47"/>
      <c r="I186" s="471"/>
    </row>
    <row r="187" spans="3:9" s="11" customFormat="1" ht="13.5">
      <c r="C187" s="38"/>
      <c r="D187" s="19"/>
      <c r="E187" s="19"/>
      <c r="F187" s="47"/>
      <c r="I187" s="471"/>
    </row>
    <row r="188" spans="3:9" s="11" customFormat="1" ht="13.5">
      <c r="C188" s="38"/>
      <c r="D188" s="19"/>
      <c r="E188" s="19"/>
      <c r="F188" s="47"/>
      <c r="I188" s="471"/>
    </row>
    <row r="189" spans="3:9" s="11" customFormat="1" ht="13.5">
      <c r="C189" s="38"/>
      <c r="D189" s="19"/>
      <c r="E189" s="19"/>
      <c r="F189" s="47"/>
      <c r="I189" s="471"/>
    </row>
    <row r="190" spans="3:9" s="11" customFormat="1" ht="13.5">
      <c r="C190" s="38"/>
      <c r="D190" s="19"/>
      <c r="E190" s="19"/>
      <c r="F190" s="47"/>
      <c r="I190" s="471"/>
    </row>
    <row r="191" spans="3:9" s="11" customFormat="1" ht="13.5">
      <c r="C191" s="38"/>
      <c r="D191" s="19"/>
      <c r="E191" s="19"/>
      <c r="F191" s="47"/>
      <c r="I191" s="471"/>
    </row>
    <row r="192" spans="3:9" s="11" customFormat="1" ht="13.5">
      <c r="C192" s="38"/>
      <c r="D192" s="19"/>
      <c r="E192" s="19"/>
      <c r="F192" s="47"/>
      <c r="I192" s="471"/>
    </row>
    <row r="193" spans="3:9" s="11" customFormat="1" ht="13.5">
      <c r="C193" s="38"/>
      <c r="D193" s="19"/>
      <c r="E193" s="19"/>
      <c r="F193" s="47"/>
      <c r="I193" s="471"/>
    </row>
    <row r="194" spans="3:9" s="11" customFormat="1" ht="13.5">
      <c r="C194" s="38"/>
      <c r="D194" s="19"/>
      <c r="E194" s="19"/>
      <c r="F194" s="47"/>
      <c r="I194" s="471"/>
    </row>
    <row r="195" spans="3:9" s="11" customFormat="1" ht="13.5">
      <c r="C195" s="38"/>
      <c r="D195" s="19"/>
      <c r="E195" s="19"/>
      <c r="F195" s="47"/>
      <c r="I195" s="471"/>
    </row>
    <row r="196" spans="3:9" s="11" customFormat="1" ht="13.5">
      <c r="C196" s="38"/>
      <c r="D196" s="19"/>
      <c r="E196" s="19"/>
      <c r="F196" s="47"/>
      <c r="I196" s="471"/>
    </row>
    <row r="197" spans="3:9" s="11" customFormat="1" ht="13.5">
      <c r="C197" s="38"/>
      <c r="D197" s="19"/>
      <c r="E197" s="19"/>
      <c r="F197" s="47"/>
      <c r="I197" s="471"/>
    </row>
    <row r="198" spans="3:9" s="11" customFormat="1" ht="13.5">
      <c r="C198" s="38"/>
      <c r="D198" s="19"/>
      <c r="E198" s="19"/>
      <c r="F198" s="47"/>
      <c r="I198" s="471"/>
    </row>
    <row r="199" spans="3:9" s="11" customFormat="1" ht="13.5">
      <c r="C199" s="38"/>
      <c r="D199" s="19"/>
      <c r="E199" s="19"/>
      <c r="F199" s="47"/>
      <c r="I199" s="471"/>
    </row>
    <row r="200" spans="3:9" s="11" customFormat="1" ht="13.5">
      <c r="C200" s="38"/>
      <c r="D200" s="19"/>
      <c r="E200" s="19"/>
      <c r="F200" s="47"/>
      <c r="I200" s="471"/>
    </row>
    <row r="201" spans="3:9" s="11" customFormat="1" ht="13.5">
      <c r="C201" s="38"/>
      <c r="D201" s="19"/>
      <c r="E201" s="19"/>
      <c r="F201" s="47"/>
      <c r="I201" s="471"/>
    </row>
    <row r="202" spans="3:9" s="11" customFormat="1" ht="13.5">
      <c r="C202" s="38"/>
      <c r="D202" s="19"/>
      <c r="E202" s="19"/>
      <c r="F202" s="47"/>
      <c r="I202" s="471"/>
    </row>
    <row r="203" spans="3:9" s="11" customFormat="1" ht="13.5">
      <c r="C203" s="38"/>
      <c r="D203" s="19"/>
      <c r="E203" s="19"/>
      <c r="F203" s="47"/>
      <c r="I203" s="471"/>
    </row>
    <row r="204" spans="3:9" s="11" customFormat="1" ht="13.5">
      <c r="C204" s="38"/>
      <c r="D204" s="19"/>
      <c r="E204" s="19"/>
      <c r="F204" s="47"/>
      <c r="I204" s="471"/>
    </row>
    <row r="205" spans="3:9" s="11" customFormat="1" ht="13.5">
      <c r="C205" s="38"/>
      <c r="D205" s="19"/>
      <c r="E205" s="19"/>
      <c r="F205" s="47"/>
      <c r="I205" s="471"/>
    </row>
    <row r="206" spans="3:9" s="11" customFormat="1" ht="13.5">
      <c r="C206" s="38"/>
      <c r="D206" s="19"/>
      <c r="E206" s="19"/>
      <c r="F206" s="47"/>
      <c r="I206" s="471"/>
    </row>
    <row r="207" spans="3:9" s="11" customFormat="1" ht="13.5">
      <c r="C207" s="38"/>
      <c r="D207" s="19"/>
      <c r="E207" s="19"/>
      <c r="F207" s="47"/>
      <c r="I207" s="471"/>
    </row>
    <row r="208" spans="3:9" s="11" customFormat="1" ht="13.5">
      <c r="C208" s="38"/>
      <c r="D208" s="19"/>
      <c r="E208" s="19"/>
      <c r="F208" s="47"/>
      <c r="I208" s="471"/>
    </row>
    <row r="209" spans="3:9" s="11" customFormat="1" ht="13.5">
      <c r="C209" s="38"/>
      <c r="D209" s="19"/>
      <c r="E209" s="19"/>
      <c r="F209" s="47"/>
      <c r="I209" s="471"/>
    </row>
    <row r="210" spans="3:9" s="11" customFormat="1" ht="13.5">
      <c r="C210" s="38"/>
      <c r="D210" s="19"/>
      <c r="E210" s="19"/>
      <c r="F210" s="47"/>
      <c r="I210" s="471"/>
    </row>
    <row r="211" spans="3:9" s="11" customFormat="1" ht="13.5">
      <c r="C211" s="38"/>
      <c r="D211" s="19"/>
      <c r="E211" s="19"/>
      <c r="F211" s="47"/>
      <c r="I211" s="471"/>
    </row>
    <row r="212" spans="3:9" s="11" customFormat="1" ht="13.5">
      <c r="C212" s="38"/>
      <c r="D212" s="19"/>
      <c r="E212" s="19"/>
      <c r="F212" s="47"/>
      <c r="I212" s="471"/>
    </row>
    <row r="213" spans="3:9" s="11" customFormat="1" ht="13.5">
      <c r="C213" s="38"/>
      <c r="D213" s="19"/>
      <c r="E213" s="19"/>
      <c r="F213" s="47"/>
      <c r="I213" s="471"/>
    </row>
    <row r="214" spans="3:9" s="11" customFormat="1" ht="13.5">
      <c r="C214" s="38"/>
      <c r="D214" s="19"/>
      <c r="E214" s="19"/>
      <c r="F214" s="47"/>
      <c r="I214" s="471"/>
    </row>
    <row r="215" spans="3:9" s="11" customFormat="1" ht="13.5">
      <c r="C215" s="38"/>
      <c r="D215" s="19"/>
      <c r="E215" s="19"/>
      <c r="F215" s="47"/>
      <c r="I215" s="471"/>
    </row>
    <row r="216" spans="3:9" s="11" customFormat="1" ht="13.5">
      <c r="C216" s="38"/>
      <c r="D216" s="19"/>
      <c r="E216" s="19"/>
      <c r="F216" s="47"/>
      <c r="I216" s="471"/>
    </row>
    <row r="217" spans="3:9" s="11" customFormat="1" ht="13.5">
      <c r="C217" s="38"/>
      <c r="D217" s="19"/>
      <c r="E217" s="19"/>
      <c r="F217" s="47"/>
      <c r="I217" s="471"/>
    </row>
    <row r="218" spans="3:9" s="11" customFormat="1" ht="13.5">
      <c r="C218" s="38"/>
      <c r="D218" s="19"/>
      <c r="E218" s="19"/>
      <c r="F218" s="47"/>
      <c r="I218" s="471"/>
    </row>
    <row r="219" spans="3:9" s="11" customFormat="1" ht="13.5">
      <c r="C219" s="38"/>
      <c r="D219" s="19"/>
      <c r="E219" s="19"/>
      <c r="F219" s="47"/>
      <c r="I219" s="471"/>
    </row>
    <row r="220" spans="3:9" s="11" customFormat="1" ht="13.5">
      <c r="C220" s="38"/>
      <c r="D220" s="19"/>
      <c r="E220" s="19"/>
      <c r="F220" s="47"/>
      <c r="I220" s="471"/>
    </row>
    <row r="221" spans="3:9" s="11" customFormat="1" ht="13.5">
      <c r="C221" s="38"/>
      <c r="D221" s="19"/>
      <c r="E221" s="19"/>
      <c r="F221" s="47"/>
      <c r="I221" s="471"/>
    </row>
    <row r="222" spans="3:9" s="11" customFormat="1" ht="13.5">
      <c r="C222" s="38"/>
      <c r="D222" s="19"/>
      <c r="E222" s="19"/>
      <c r="F222" s="47"/>
      <c r="I222" s="471"/>
    </row>
    <row r="223" spans="3:9" s="11" customFormat="1" ht="13.5">
      <c r="C223" s="38"/>
      <c r="D223" s="19"/>
      <c r="E223" s="19"/>
      <c r="F223" s="47"/>
      <c r="I223" s="471"/>
    </row>
    <row r="224" spans="3:9" s="11" customFormat="1" ht="13.5">
      <c r="C224" s="38"/>
      <c r="D224" s="19"/>
      <c r="E224" s="19"/>
      <c r="F224" s="47"/>
      <c r="I224" s="471"/>
    </row>
    <row r="225" spans="3:9" s="11" customFormat="1" ht="13.5">
      <c r="C225" s="38"/>
      <c r="D225" s="19"/>
      <c r="E225" s="19"/>
      <c r="F225" s="47"/>
      <c r="I225" s="471"/>
    </row>
    <row r="226" spans="3:9" s="11" customFormat="1" ht="13.5">
      <c r="C226" s="38"/>
      <c r="D226" s="19"/>
      <c r="E226" s="19"/>
      <c r="F226" s="47"/>
      <c r="I226" s="471"/>
    </row>
    <row r="227" spans="3:9" s="11" customFormat="1" ht="13.5">
      <c r="C227" s="38"/>
      <c r="D227" s="19"/>
      <c r="E227" s="19"/>
      <c r="F227" s="47"/>
      <c r="I227" s="471"/>
    </row>
    <row r="228" spans="3:9" s="11" customFormat="1" ht="13.5">
      <c r="C228" s="38"/>
      <c r="D228" s="19"/>
      <c r="E228" s="19"/>
      <c r="F228" s="47"/>
      <c r="I228" s="471"/>
    </row>
    <row r="229" spans="3:9" s="11" customFormat="1" ht="13.5">
      <c r="C229" s="38"/>
      <c r="D229" s="19"/>
      <c r="E229" s="19"/>
      <c r="F229" s="47"/>
      <c r="I229" s="471"/>
    </row>
    <row r="230" spans="3:9" s="11" customFormat="1" ht="13.5">
      <c r="C230" s="38"/>
      <c r="D230" s="19"/>
      <c r="E230" s="19"/>
      <c r="F230" s="47"/>
      <c r="I230" s="471"/>
    </row>
    <row r="231" spans="3:9" s="11" customFormat="1" ht="13.5">
      <c r="C231" s="38"/>
      <c r="D231" s="19"/>
      <c r="E231" s="19"/>
      <c r="F231" s="47"/>
      <c r="I231" s="471"/>
    </row>
    <row r="232" spans="3:9" s="11" customFormat="1" ht="13.5">
      <c r="C232" s="38"/>
      <c r="D232" s="19"/>
      <c r="E232" s="19"/>
      <c r="F232" s="47"/>
      <c r="I232" s="471"/>
    </row>
    <row r="233" spans="3:9" s="11" customFormat="1" ht="13.5">
      <c r="C233" s="38"/>
      <c r="D233" s="19"/>
      <c r="E233" s="19"/>
      <c r="F233" s="47"/>
      <c r="I233" s="471"/>
    </row>
    <row r="234" spans="3:9" s="11" customFormat="1" ht="13.5">
      <c r="C234" s="38"/>
      <c r="D234" s="19"/>
      <c r="E234" s="19"/>
      <c r="F234" s="47"/>
      <c r="I234" s="471"/>
    </row>
    <row r="235" spans="3:9" s="11" customFormat="1" ht="13.5">
      <c r="C235" s="38"/>
      <c r="D235" s="19"/>
      <c r="E235" s="19"/>
      <c r="F235" s="47"/>
      <c r="I235" s="471"/>
    </row>
    <row r="236" spans="3:9" s="11" customFormat="1" ht="13.5">
      <c r="C236" s="38"/>
      <c r="D236" s="19"/>
      <c r="E236" s="19"/>
      <c r="F236" s="47"/>
      <c r="I236" s="471"/>
    </row>
    <row r="237" spans="3:9" s="11" customFormat="1" ht="13.5">
      <c r="C237" s="38"/>
      <c r="D237" s="19"/>
      <c r="E237" s="19"/>
      <c r="F237" s="47"/>
      <c r="I237" s="471"/>
    </row>
    <row r="238" spans="3:9" s="11" customFormat="1" ht="13.5">
      <c r="C238" s="38"/>
      <c r="D238" s="19"/>
      <c r="E238" s="19"/>
      <c r="F238" s="47"/>
      <c r="I238" s="471"/>
    </row>
    <row r="239" spans="3:9" s="11" customFormat="1" ht="13.5">
      <c r="C239" s="38"/>
      <c r="D239" s="19"/>
      <c r="E239" s="19"/>
      <c r="F239" s="47"/>
      <c r="I239" s="471"/>
    </row>
    <row r="240" spans="3:9" s="11" customFormat="1" ht="13.5">
      <c r="C240" s="38"/>
      <c r="D240" s="19"/>
      <c r="E240" s="19"/>
      <c r="F240" s="47"/>
      <c r="I240" s="471"/>
    </row>
    <row r="241" spans="3:9" s="11" customFormat="1" ht="13.5">
      <c r="C241" s="38"/>
      <c r="D241" s="19"/>
      <c r="E241" s="19"/>
      <c r="F241" s="47"/>
      <c r="I241" s="471"/>
    </row>
    <row r="242" spans="3:9" s="11" customFormat="1" ht="13.5">
      <c r="C242" s="38"/>
      <c r="D242" s="19"/>
      <c r="E242" s="19"/>
      <c r="F242" s="47"/>
      <c r="I242" s="471"/>
    </row>
    <row r="243" spans="3:9" s="11" customFormat="1" ht="13.5">
      <c r="C243" s="38"/>
      <c r="D243" s="19"/>
      <c r="E243" s="19"/>
      <c r="F243" s="47"/>
      <c r="I243" s="471"/>
    </row>
    <row r="244" spans="3:9" s="11" customFormat="1" ht="13.5">
      <c r="C244" s="38"/>
      <c r="D244" s="19"/>
      <c r="E244" s="19"/>
      <c r="F244" s="47"/>
      <c r="I244" s="471"/>
    </row>
    <row r="245" spans="3:9" s="11" customFormat="1" ht="13.5">
      <c r="C245" s="38"/>
      <c r="D245" s="19"/>
      <c r="E245" s="19"/>
      <c r="F245" s="47"/>
      <c r="I245" s="471"/>
    </row>
    <row r="246" spans="3:9" s="11" customFormat="1" ht="13.5">
      <c r="C246" s="38"/>
      <c r="D246" s="19"/>
      <c r="E246" s="19"/>
      <c r="F246" s="47"/>
      <c r="I246" s="471"/>
    </row>
    <row r="247" spans="3:9" s="11" customFormat="1" ht="13.5">
      <c r="C247" s="38"/>
      <c r="D247" s="19"/>
      <c r="E247" s="19"/>
      <c r="F247" s="47"/>
      <c r="I247" s="471"/>
    </row>
    <row r="248" spans="3:9" s="11" customFormat="1" ht="13.5">
      <c r="C248" s="38"/>
      <c r="D248" s="19"/>
      <c r="E248" s="19"/>
      <c r="F248" s="47"/>
      <c r="I248" s="471"/>
    </row>
    <row r="249" spans="3:9" s="11" customFormat="1" ht="13.5">
      <c r="C249" s="38"/>
      <c r="D249" s="19"/>
      <c r="E249" s="19"/>
      <c r="F249" s="47"/>
      <c r="I249" s="471"/>
    </row>
    <row r="250" spans="3:9" s="11" customFormat="1" ht="13.5">
      <c r="C250" s="38"/>
      <c r="D250" s="19"/>
      <c r="E250" s="19"/>
      <c r="F250" s="47"/>
      <c r="I250" s="471"/>
    </row>
    <row r="251" spans="3:9" s="11" customFormat="1" ht="13.5">
      <c r="C251" s="38"/>
      <c r="D251" s="19"/>
      <c r="E251" s="19"/>
      <c r="F251" s="47"/>
      <c r="I251" s="471"/>
    </row>
    <row r="252" spans="3:9" s="11" customFormat="1" ht="13.5">
      <c r="C252" s="38"/>
      <c r="D252" s="19"/>
      <c r="E252" s="19"/>
      <c r="F252" s="47"/>
      <c r="I252" s="471"/>
    </row>
    <row r="253" spans="3:9" s="11" customFormat="1" ht="13.5">
      <c r="C253" s="38"/>
      <c r="D253" s="19"/>
      <c r="E253" s="19"/>
      <c r="F253" s="47"/>
      <c r="I253" s="471"/>
    </row>
    <row r="254" spans="3:9" s="11" customFormat="1" ht="13.5">
      <c r="C254" s="38"/>
      <c r="D254" s="19"/>
      <c r="E254" s="19"/>
      <c r="F254" s="47"/>
      <c r="I254" s="471"/>
    </row>
    <row r="255" spans="3:9" s="11" customFormat="1" ht="13.5">
      <c r="C255" s="38"/>
      <c r="D255" s="19"/>
      <c r="E255" s="19"/>
      <c r="F255" s="47"/>
      <c r="I255" s="471"/>
    </row>
    <row r="256" spans="3:9" s="11" customFormat="1" ht="13.5">
      <c r="C256" s="38"/>
      <c r="D256" s="19"/>
      <c r="E256" s="19"/>
      <c r="F256" s="47"/>
      <c r="I256" s="471"/>
    </row>
    <row r="257" spans="3:9" s="11" customFormat="1" ht="13.5">
      <c r="C257" s="38"/>
      <c r="D257" s="19"/>
      <c r="E257" s="19"/>
      <c r="F257" s="47"/>
      <c r="I257" s="471"/>
    </row>
    <row r="258" spans="3:9" s="11" customFormat="1" ht="13.5">
      <c r="C258" s="38"/>
      <c r="D258" s="19"/>
      <c r="E258" s="19"/>
      <c r="F258" s="47"/>
      <c r="I258" s="471"/>
    </row>
    <row r="259" spans="3:9" s="11" customFormat="1" ht="13.5">
      <c r="C259" s="38"/>
      <c r="D259" s="19"/>
      <c r="E259" s="19"/>
      <c r="F259" s="47"/>
      <c r="I259" s="471"/>
    </row>
    <row r="260" spans="3:9" s="11" customFormat="1" ht="13.5">
      <c r="C260" s="38"/>
      <c r="D260" s="19"/>
      <c r="E260" s="19"/>
      <c r="F260" s="47"/>
      <c r="I260" s="471"/>
    </row>
    <row r="261" spans="3:9" s="11" customFormat="1" ht="13.5">
      <c r="C261" s="38"/>
      <c r="D261" s="19"/>
      <c r="E261" s="19"/>
      <c r="F261" s="47"/>
      <c r="I261" s="471"/>
    </row>
    <row r="262" spans="3:9" s="11" customFormat="1" ht="13.5">
      <c r="C262" s="38"/>
      <c r="D262" s="19"/>
      <c r="E262" s="19"/>
      <c r="F262" s="47"/>
      <c r="I262" s="471"/>
    </row>
    <row r="263" spans="3:9" s="11" customFormat="1" ht="13.5">
      <c r="C263" s="38"/>
      <c r="D263" s="19"/>
      <c r="E263" s="19"/>
      <c r="F263" s="47"/>
      <c r="I263" s="471"/>
    </row>
    <row r="264" spans="3:9" s="11" customFormat="1" ht="13.5">
      <c r="C264" s="38"/>
      <c r="D264" s="19"/>
      <c r="E264" s="19"/>
      <c r="F264" s="47"/>
      <c r="I264" s="471"/>
    </row>
    <row r="265" spans="3:9" s="11" customFormat="1" ht="13.5">
      <c r="C265" s="38"/>
      <c r="D265" s="19"/>
      <c r="E265" s="19"/>
      <c r="F265" s="47"/>
      <c r="I265" s="471"/>
    </row>
    <row r="266" spans="3:9" s="11" customFormat="1" ht="13.5">
      <c r="C266" s="38"/>
      <c r="D266" s="19"/>
      <c r="E266" s="19"/>
      <c r="F266" s="47"/>
      <c r="I266" s="471"/>
    </row>
    <row r="267" spans="3:9" s="11" customFormat="1" ht="13.5">
      <c r="C267" s="38"/>
      <c r="D267" s="19"/>
      <c r="E267" s="19"/>
      <c r="F267" s="47"/>
      <c r="I267" s="471"/>
    </row>
    <row r="268" spans="3:9" s="11" customFormat="1" ht="13.5">
      <c r="C268" s="38"/>
      <c r="D268" s="19"/>
      <c r="E268" s="19"/>
      <c r="F268" s="47"/>
      <c r="I268" s="471"/>
    </row>
    <row r="269" spans="3:9" s="11" customFormat="1" ht="13.5">
      <c r="C269" s="38"/>
      <c r="D269" s="19"/>
      <c r="E269" s="19"/>
      <c r="F269" s="47"/>
      <c r="I269" s="471"/>
    </row>
    <row r="270" spans="3:9" s="11" customFormat="1" ht="13.5">
      <c r="C270" s="38"/>
      <c r="D270" s="19"/>
      <c r="E270" s="19"/>
      <c r="F270" s="47"/>
      <c r="I270" s="471"/>
    </row>
    <row r="271" spans="3:9" s="11" customFormat="1" ht="13.5">
      <c r="C271" s="38"/>
      <c r="D271" s="19"/>
      <c r="E271" s="19"/>
      <c r="F271" s="47"/>
      <c r="I271" s="471"/>
    </row>
    <row r="272" spans="3:9" s="11" customFormat="1" ht="13.5">
      <c r="C272" s="38"/>
      <c r="D272" s="19"/>
      <c r="E272" s="19"/>
      <c r="F272" s="47"/>
      <c r="I272" s="471"/>
    </row>
    <row r="273" spans="3:9" s="11" customFormat="1" ht="13.5">
      <c r="C273" s="38"/>
      <c r="D273" s="19"/>
      <c r="E273" s="19"/>
      <c r="F273" s="47"/>
      <c r="I273" s="471"/>
    </row>
    <row r="274" spans="3:9" s="11" customFormat="1" ht="13.5">
      <c r="C274" s="38"/>
      <c r="D274" s="19"/>
      <c r="E274" s="19"/>
      <c r="F274" s="47"/>
      <c r="I274" s="471"/>
    </row>
    <row r="275" spans="3:9" s="11" customFormat="1" ht="13.5">
      <c r="C275" s="38"/>
      <c r="D275" s="19"/>
      <c r="E275" s="19"/>
      <c r="F275" s="47"/>
      <c r="I275" s="471"/>
    </row>
    <row r="276" spans="3:9" s="11" customFormat="1" ht="13.5">
      <c r="C276" s="38"/>
      <c r="D276" s="19"/>
      <c r="E276" s="19"/>
      <c r="F276" s="47"/>
      <c r="I276" s="471"/>
    </row>
    <row r="277" spans="3:9" s="11" customFormat="1" ht="13.5">
      <c r="C277" s="38"/>
      <c r="D277" s="19"/>
      <c r="E277" s="19"/>
      <c r="F277" s="47"/>
      <c r="I277" s="471"/>
    </row>
    <row r="278" spans="3:9" s="11" customFormat="1" ht="13.5">
      <c r="C278" s="38"/>
      <c r="D278" s="19"/>
      <c r="E278" s="19"/>
      <c r="F278" s="47"/>
      <c r="I278" s="471"/>
    </row>
    <row r="279" spans="3:9" s="11" customFormat="1" ht="13.5">
      <c r="C279" s="38"/>
      <c r="D279" s="19"/>
      <c r="E279" s="19"/>
      <c r="F279" s="47"/>
      <c r="I279" s="471"/>
    </row>
    <row r="280" spans="3:9" s="11" customFormat="1" ht="13.5">
      <c r="C280" s="38"/>
      <c r="D280" s="19"/>
      <c r="E280" s="19"/>
      <c r="F280" s="47"/>
      <c r="I280" s="471"/>
    </row>
    <row r="281" spans="3:9" s="11" customFormat="1" ht="13.5">
      <c r="C281" s="38"/>
      <c r="D281" s="19"/>
      <c r="E281" s="19"/>
      <c r="F281" s="47"/>
      <c r="I281" s="471"/>
    </row>
    <row r="282" spans="3:9" s="11" customFormat="1" ht="13.5">
      <c r="C282" s="38"/>
      <c r="D282" s="19"/>
      <c r="E282" s="19"/>
      <c r="F282" s="47"/>
      <c r="I282" s="471"/>
    </row>
    <row r="283" spans="3:9" s="11" customFormat="1" ht="13.5">
      <c r="C283" s="38"/>
      <c r="D283" s="19"/>
      <c r="E283" s="19"/>
      <c r="F283" s="47"/>
      <c r="I283" s="471"/>
    </row>
    <row r="284" spans="3:9" s="11" customFormat="1" ht="13.5">
      <c r="C284" s="38"/>
      <c r="D284" s="19"/>
      <c r="E284" s="19"/>
      <c r="F284" s="47"/>
      <c r="I284" s="471"/>
    </row>
    <row r="285" spans="3:9" s="11" customFormat="1" ht="13.5">
      <c r="C285" s="38"/>
      <c r="D285" s="19"/>
      <c r="E285" s="19"/>
      <c r="F285" s="47"/>
      <c r="I285" s="471"/>
    </row>
    <row r="286" spans="3:9" s="11" customFormat="1" ht="13.5">
      <c r="C286" s="38"/>
      <c r="D286" s="19"/>
      <c r="E286" s="19"/>
      <c r="F286" s="47"/>
      <c r="I286" s="471"/>
    </row>
    <row r="287" spans="3:9" s="11" customFormat="1" ht="13.5">
      <c r="C287" s="38"/>
      <c r="D287" s="19"/>
      <c r="E287" s="19"/>
      <c r="F287" s="47"/>
      <c r="I287" s="471"/>
    </row>
    <row r="288" spans="3:9" s="11" customFormat="1" ht="13.5">
      <c r="C288" s="38"/>
      <c r="D288" s="19"/>
      <c r="E288" s="19"/>
      <c r="F288" s="47"/>
      <c r="I288" s="471"/>
    </row>
    <row r="289" spans="3:9" s="11" customFormat="1" ht="13.5">
      <c r="C289" s="38"/>
      <c r="D289" s="19"/>
      <c r="E289" s="19"/>
      <c r="F289" s="47"/>
      <c r="I289" s="471"/>
    </row>
    <row r="290" spans="3:9" s="11" customFormat="1" ht="13.5">
      <c r="C290" s="38"/>
      <c r="D290" s="19"/>
      <c r="E290" s="19"/>
      <c r="F290" s="47"/>
      <c r="I290" s="471"/>
    </row>
    <row r="291" spans="3:9" s="11" customFormat="1" ht="13.5">
      <c r="C291" s="38"/>
      <c r="D291" s="19"/>
      <c r="E291" s="19"/>
      <c r="F291" s="47"/>
      <c r="I291" s="471"/>
    </row>
    <row r="292" spans="3:9" s="11" customFormat="1" ht="13.5">
      <c r="C292" s="38"/>
      <c r="D292" s="19"/>
      <c r="E292" s="19"/>
      <c r="F292" s="47"/>
      <c r="I292" s="471"/>
    </row>
    <row r="293" spans="3:9" s="11" customFormat="1" ht="13.5">
      <c r="C293" s="38"/>
      <c r="D293" s="19"/>
      <c r="E293" s="19"/>
      <c r="F293" s="47"/>
      <c r="I293" s="471"/>
    </row>
    <row r="294" spans="3:9" s="11" customFormat="1" ht="13.5">
      <c r="C294" s="38"/>
      <c r="D294" s="19"/>
      <c r="E294" s="19"/>
      <c r="F294" s="47"/>
      <c r="I294" s="471"/>
    </row>
    <row r="295" spans="3:9" s="11" customFormat="1" ht="13.5">
      <c r="C295" s="38"/>
      <c r="D295" s="19"/>
      <c r="E295" s="19"/>
      <c r="F295" s="47"/>
      <c r="I295" s="471"/>
    </row>
    <row r="296" spans="3:9" s="11" customFormat="1" ht="13.5">
      <c r="C296" s="38"/>
      <c r="D296" s="19"/>
      <c r="E296" s="19"/>
      <c r="F296" s="47"/>
      <c r="I296" s="471"/>
    </row>
    <row r="297" spans="3:6" ht="13.5">
      <c r="C297" s="38"/>
      <c r="F297" s="47"/>
    </row>
    <row r="298" spans="3:6" ht="13.5">
      <c r="C298" s="38"/>
      <c r="F298" s="47"/>
    </row>
    <row r="299" spans="3:6" ht="13.5">
      <c r="C299" s="38"/>
      <c r="F299" s="47"/>
    </row>
    <row r="300" spans="3:6" ht="13.5">
      <c r="C300" s="38"/>
      <c r="F300" s="47"/>
    </row>
    <row r="301" spans="3:6" ht="13.5">
      <c r="C301" s="38"/>
      <c r="F301" s="47"/>
    </row>
    <row r="302" spans="3:6" ht="13.5">
      <c r="C302" s="38"/>
      <c r="F302" s="47"/>
    </row>
    <row r="303" spans="3:6" ht="13.5">
      <c r="C303" s="38"/>
      <c r="F303" s="47"/>
    </row>
    <row r="304" spans="3:6" ht="13.5">
      <c r="C304" s="38"/>
      <c r="F304" s="47"/>
    </row>
    <row r="305" spans="3:6" ht="13.5">
      <c r="C305" s="38"/>
      <c r="F305" s="47"/>
    </row>
    <row r="306" spans="3:6" ht="13.5">
      <c r="C306" s="38"/>
      <c r="F306" s="47"/>
    </row>
    <row r="307" spans="3:6" ht="13.5">
      <c r="C307" s="38"/>
      <c r="F307" s="47"/>
    </row>
    <row r="308" spans="3:6" ht="13.5">
      <c r="C308" s="38"/>
      <c r="F308" s="47"/>
    </row>
    <row r="309" spans="3:6" ht="13.5">
      <c r="C309" s="38"/>
      <c r="F309" s="47"/>
    </row>
    <row r="310" spans="3:6" ht="13.5">
      <c r="C310" s="38"/>
      <c r="F310" s="47"/>
    </row>
    <row r="311" spans="3:6" ht="13.5">
      <c r="C311" s="38"/>
      <c r="F311" s="47"/>
    </row>
    <row r="312" spans="3:6" ht="13.5">
      <c r="C312" s="38"/>
      <c r="F312" s="47"/>
    </row>
    <row r="313" spans="3:6" ht="13.5">
      <c r="C313" s="38"/>
      <c r="F313" s="47"/>
    </row>
    <row r="314" spans="3:6" ht="13.5">
      <c r="C314" s="38"/>
      <c r="F314" s="47"/>
    </row>
    <row r="315" spans="3:6" ht="13.5">
      <c r="C315" s="38"/>
      <c r="F315" s="47"/>
    </row>
    <row r="316" spans="3:6" ht="13.5">
      <c r="C316" s="38"/>
      <c r="F316" s="47"/>
    </row>
    <row r="317" spans="3:6" ht="13.5">
      <c r="C317" s="38"/>
      <c r="F317" s="47"/>
    </row>
    <row r="318" spans="3:6" ht="13.5">
      <c r="C318" s="38"/>
      <c r="F318" s="47"/>
    </row>
    <row r="319" spans="3:6" ht="13.5">
      <c r="C319" s="38"/>
      <c r="F319" s="47"/>
    </row>
    <row r="320" spans="3:6" ht="13.5">
      <c r="C320" s="38"/>
      <c r="F320" s="47"/>
    </row>
    <row r="321" spans="3:6" ht="13.5">
      <c r="C321" s="38"/>
      <c r="F321" s="47"/>
    </row>
    <row r="322" spans="3:6" ht="13.5">
      <c r="C322" s="38"/>
      <c r="F322" s="47"/>
    </row>
    <row r="323" spans="3:6" ht="13.5">
      <c r="C323" s="38"/>
      <c r="F323" s="47"/>
    </row>
    <row r="324" spans="3:6" ht="13.5">
      <c r="C324" s="38"/>
      <c r="F324" s="47"/>
    </row>
    <row r="325" spans="3:6" ht="13.5">
      <c r="C325" s="38"/>
      <c r="F325" s="47"/>
    </row>
    <row r="326" spans="3:6" ht="13.5">
      <c r="C326" s="38"/>
      <c r="F326" s="47"/>
    </row>
    <row r="327" spans="3:6" ht="13.5">
      <c r="C327" s="38"/>
      <c r="F327" s="47"/>
    </row>
    <row r="328" spans="3:6" ht="13.5">
      <c r="C328" s="38"/>
      <c r="F328" s="47"/>
    </row>
    <row r="329" spans="3:6" ht="13.5">
      <c r="C329" s="38"/>
      <c r="F329" s="47"/>
    </row>
    <row r="330" spans="3:6" ht="13.5">
      <c r="C330" s="38"/>
      <c r="F330" s="47"/>
    </row>
    <row r="331" spans="3:6" ht="13.5">
      <c r="C331" s="38"/>
      <c r="F331" s="47"/>
    </row>
    <row r="332" spans="3:6" ht="13.5">
      <c r="C332" s="38"/>
      <c r="F332" s="47"/>
    </row>
    <row r="333" spans="3:6" ht="13.5">
      <c r="C333" s="38"/>
      <c r="F333" s="47"/>
    </row>
    <row r="334" spans="3:6" ht="13.5">
      <c r="C334" s="38"/>
      <c r="F334" s="47"/>
    </row>
    <row r="335" spans="3:6" ht="13.5">
      <c r="C335" s="38"/>
      <c r="F335" s="47"/>
    </row>
    <row r="336" spans="3:6" ht="13.5">
      <c r="C336" s="38"/>
      <c r="F336" s="47"/>
    </row>
    <row r="337" spans="3:6" ht="13.5">
      <c r="C337" s="38"/>
      <c r="F337" s="47"/>
    </row>
    <row r="338" spans="3:6" ht="13.5">
      <c r="C338" s="38"/>
      <c r="F338" s="47"/>
    </row>
    <row r="339" spans="3:6" ht="13.5">
      <c r="C339" s="38"/>
      <c r="F339" s="47"/>
    </row>
    <row r="340" spans="3:6" ht="13.5">
      <c r="C340" s="38"/>
      <c r="F340" s="47"/>
    </row>
    <row r="341" spans="3:6" ht="13.5">
      <c r="C341" s="38"/>
      <c r="F341" s="47"/>
    </row>
    <row r="342" spans="3:6" ht="13.5">
      <c r="C342" s="38"/>
      <c r="F342" s="47"/>
    </row>
    <row r="343" spans="3:6" ht="13.5">
      <c r="C343" s="38"/>
      <c r="F343" s="47"/>
    </row>
    <row r="344" spans="3:6" ht="13.5">
      <c r="C344" s="38"/>
      <c r="F344" s="47"/>
    </row>
    <row r="345" spans="3:6" ht="13.5">
      <c r="C345" s="38"/>
      <c r="F345" s="47"/>
    </row>
    <row r="346" spans="3:6" ht="13.5">
      <c r="C346" s="38"/>
      <c r="F346" s="47"/>
    </row>
    <row r="347" spans="3:6" ht="13.5">
      <c r="C347" s="38"/>
      <c r="F347" s="47"/>
    </row>
    <row r="348" spans="3:6" ht="13.5">
      <c r="C348" s="38"/>
      <c r="F348" s="47"/>
    </row>
    <row r="349" spans="3:6" ht="13.5">
      <c r="C349" s="38"/>
      <c r="F349" s="47"/>
    </row>
    <row r="350" spans="3:6" ht="13.5">
      <c r="C350" s="38"/>
      <c r="F350" s="47"/>
    </row>
    <row r="351" spans="3:6" ht="13.5">
      <c r="C351" s="38"/>
      <c r="F351" s="47"/>
    </row>
    <row r="352" spans="3:6" ht="13.5">
      <c r="C352" s="38"/>
      <c r="F352" s="47"/>
    </row>
    <row r="353" spans="3:6" ht="13.5">
      <c r="C353" s="38"/>
      <c r="F353" s="47"/>
    </row>
    <row r="354" spans="3:6" ht="13.5">
      <c r="C354" s="38"/>
      <c r="F354" s="47"/>
    </row>
    <row r="355" spans="3:6" ht="13.5">
      <c r="C355" s="38"/>
      <c r="F355" s="47"/>
    </row>
    <row r="356" spans="3:6" ht="13.5">
      <c r="C356" s="38"/>
      <c r="F356" s="47"/>
    </row>
    <row r="357" spans="3:6" ht="13.5">
      <c r="C357" s="38"/>
      <c r="F357" s="47"/>
    </row>
    <row r="358" spans="3:6" ht="13.5">
      <c r="C358" s="38"/>
      <c r="F358" s="47"/>
    </row>
    <row r="359" spans="3:6" ht="13.5">
      <c r="C359" s="38"/>
      <c r="F359" s="47"/>
    </row>
    <row r="360" spans="3:6" ht="13.5">
      <c r="C360" s="38"/>
      <c r="F360" s="47"/>
    </row>
    <row r="361" spans="3:6" ht="13.5">
      <c r="C361" s="38"/>
      <c r="F361" s="47"/>
    </row>
    <row r="362" spans="3:6" ht="13.5">
      <c r="C362" s="38"/>
      <c r="F362" s="47"/>
    </row>
    <row r="363" spans="3:6" ht="13.5">
      <c r="C363" s="38"/>
      <c r="F363" s="47"/>
    </row>
    <row r="364" spans="3:6" ht="13.5">
      <c r="C364" s="38"/>
      <c r="F364" s="47"/>
    </row>
    <row r="365" spans="3:6" ht="13.5">
      <c r="C365" s="38"/>
      <c r="F365" s="47"/>
    </row>
    <row r="366" spans="3:6" ht="13.5">
      <c r="C366" s="38"/>
      <c r="F366" s="47"/>
    </row>
    <row r="367" spans="3:6" ht="13.5">
      <c r="C367" s="38"/>
      <c r="F367" s="47"/>
    </row>
    <row r="368" spans="3:6" ht="13.5">
      <c r="C368" s="38"/>
      <c r="F368" s="47"/>
    </row>
    <row r="369" spans="3:6" ht="13.5">
      <c r="C369" s="38"/>
      <c r="F369" s="47"/>
    </row>
    <row r="370" spans="3:6" ht="13.5">
      <c r="C370" s="38"/>
      <c r="F370" s="47"/>
    </row>
    <row r="371" spans="3:6" ht="13.5">
      <c r="C371" s="38"/>
      <c r="F371" s="47"/>
    </row>
    <row r="372" spans="3:6" ht="13.5">
      <c r="C372" s="38"/>
      <c r="F372" s="47"/>
    </row>
    <row r="373" spans="3:6" ht="13.5">
      <c r="C373" s="38"/>
      <c r="F373" s="47"/>
    </row>
    <row r="374" spans="3:6" ht="13.5">
      <c r="C374" s="38"/>
      <c r="F374" s="47"/>
    </row>
    <row r="375" spans="3:6" ht="13.5">
      <c r="C375" s="38"/>
      <c r="F375" s="47"/>
    </row>
    <row r="376" spans="3:6" ht="13.5">
      <c r="C376" s="38"/>
      <c r="F376" s="47"/>
    </row>
    <row r="377" spans="3:6" ht="13.5">
      <c r="C377" s="38"/>
      <c r="F377" s="47"/>
    </row>
    <row r="378" spans="3:6" ht="13.5">
      <c r="C378" s="38"/>
      <c r="F378" s="47"/>
    </row>
    <row r="379" spans="3:6" ht="13.5">
      <c r="C379" s="38"/>
      <c r="F379" s="47"/>
    </row>
    <row r="380" spans="3:6" ht="13.5">
      <c r="C380" s="38"/>
      <c r="F380" s="47"/>
    </row>
    <row r="381" spans="3:6" ht="13.5">
      <c r="C381" s="38"/>
      <c r="F381" s="47"/>
    </row>
    <row r="382" spans="3:6" ht="13.5">
      <c r="C382" s="38"/>
      <c r="F382" s="47"/>
    </row>
    <row r="383" spans="3:6" ht="13.5">
      <c r="C383" s="38"/>
      <c r="F383" s="47"/>
    </row>
    <row r="384" spans="3:6" ht="13.5">
      <c r="C384" s="38"/>
      <c r="F384" s="47"/>
    </row>
    <row r="385" spans="3:6" ht="13.5">
      <c r="C385" s="38"/>
      <c r="F385" s="47"/>
    </row>
    <row r="386" spans="3:6" ht="13.5">
      <c r="C386" s="38"/>
      <c r="F386" s="47"/>
    </row>
    <row r="387" spans="3:6" ht="13.5">
      <c r="C387" s="38"/>
      <c r="F387" s="47"/>
    </row>
    <row r="388" spans="3:6" ht="13.5">
      <c r="C388" s="38"/>
      <c r="F388" s="47"/>
    </row>
    <row r="389" spans="3:6" ht="13.5">
      <c r="C389" s="38"/>
      <c r="F389" s="47"/>
    </row>
    <row r="390" spans="3:6" ht="13.5">
      <c r="C390" s="38"/>
      <c r="F390" s="47"/>
    </row>
    <row r="391" spans="3:6" ht="13.5">
      <c r="C391" s="38"/>
      <c r="F391" s="47"/>
    </row>
    <row r="392" spans="3:6" ht="13.5">
      <c r="C392" s="38"/>
      <c r="F392" s="47"/>
    </row>
    <row r="393" spans="3:6" ht="13.5">
      <c r="C393" s="38"/>
      <c r="F393" s="47"/>
    </row>
    <row r="394" spans="3:6" ht="13.5">
      <c r="C394" s="38"/>
      <c r="F394" s="47"/>
    </row>
    <row r="395" spans="3:6" ht="13.5">
      <c r="C395" s="38"/>
      <c r="F395" s="47"/>
    </row>
    <row r="396" spans="3:6" ht="13.5">
      <c r="C396" s="38"/>
      <c r="F396" s="47"/>
    </row>
    <row r="397" spans="3:6" ht="13.5">
      <c r="C397" s="38"/>
      <c r="F397" s="47"/>
    </row>
    <row r="398" spans="3:6" ht="13.5">
      <c r="C398" s="38"/>
      <c r="F398" s="47"/>
    </row>
    <row r="399" spans="3:6" ht="13.5">
      <c r="C399" s="38"/>
      <c r="F399" s="47"/>
    </row>
    <row r="400" spans="3:6" ht="13.5">
      <c r="C400" s="38"/>
      <c r="F400" s="47"/>
    </row>
    <row r="401" spans="3:6" ht="13.5">
      <c r="C401" s="38"/>
      <c r="F401" s="47"/>
    </row>
    <row r="402" spans="3:6" ht="13.5">
      <c r="C402" s="38"/>
      <c r="F402" s="47"/>
    </row>
    <row r="403" spans="3:6" ht="13.5">
      <c r="C403" s="38"/>
      <c r="F403" s="47"/>
    </row>
    <row r="404" spans="3:6" ht="13.5">
      <c r="C404" s="38"/>
      <c r="F404" s="47"/>
    </row>
    <row r="405" spans="3:6" ht="13.5">
      <c r="C405" s="38"/>
      <c r="F405" s="47"/>
    </row>
    <row r="406" spans="3:6" ht="13.5">
      <c r="C406" s="38"/>
      <c r="F406" s="47"/>
    </row>
    <row r="407" spans="3:6" ht="13.5">
      <c r="C407" s="38"/>
      <c r="F407" s="47"/>
    </row>
    <row r="408" spans="3:6" ht="13.5">
      <c r="C408" s="38"/>
      <c r="F408" s="47"/>
    </row>
    <row r="409" spans="3:6" ht="13.5">
      <c r="C409" s="38"/>
      <c r="F409" s="47"/>
    </row>
    <row r="410" spans="3:6" ht="13.5">
      <c r="C410" s="38"/>
      <c r="F410" s="47"/>
    </row>
    <row r="411" spans="3:6" ht="13.5">
      <c r="C411" s="38"/>
      <c r="F411" s="47"/>
    </row>
    <row r="412" spans="3:6" ht="13.5">
      <c r="C412" s="38"/>
      <c r="F412" s="47"/>
    </row>
    <row r="413" spans="3:6" ht="13.5">
      <c r="C413" s="38"/>
      <c r="F413" s="47"/>
    </row>
    <row r="414" spans="3:6" ht="13.5">
      <c r="C414" s="38"/>
      <c r="F414" s="47"/>
    </row>
    <row r="415" spans="3:6" ht="13.5">
      <c r="C415" s="38"/>
      <c r="F415" s="47"/>
    </row>
    <row r="416" spans="3:6" ht="13.5">
      <c r="C416" s="38"/>
      <c r="F416" s="47"/>
    </row>
    <row r="417" spans="3:6" ht="13.5">
      <c r="C417" s="38"/>
      <c r="F417" s="47"/>
    </row>
    <row r="418" spans="3:6" ht="13.5">
      <c r="C418" s="38"/>
      <c r="F418" s="47"/>
    </row>
    <row r="419" spans="3:6" ht="13.5">
      <c r="C419" s="38"/>
      <c r="F419" s="47"/>
    </row>
    <row r="420" spans="3:6" ht="13.5">
      <c r="C420" s="38"/>
      <c r="F420" s="47"/>
    </row>
    <row r="421" spans="3:6" ht="13.5">
      <c r="C421" s="38"/>
      <c r="F421" s="47"/>
    </row>
    <row r="422" spans="3:6" ht="13.5">
      <c r="C422" s="38"/>
      <c r="F422" s="47"/>
    </row>
    <row r="423" spans="3:6" ht="13.5">
      <c r="C423" s="38"/>
      <c r="F423" s="47"/>
    </row>
    <row r="424" spans="3:6" ht="13.5">
      <c r="C424" s="38"/>
      <c r="F424" s="47"/>
    </row>
    <row r="425" spans="3:6" ht="13.5">
      <c r="C425" s="38"/>
      <c r="F425" s="47"/>
    </row>
    <row r="426" spans="3:6" ht="13.5">
      <c r="C426" s="38"/>
      <c r="F426" s="47"/>
    </row>
    <row r="427" spans="3:6" ht="13.5">
      <c r="C427" s="38"/>
      <c r="F427" s="47"/>
    </row>
    <row r="428" spans="3:6" ht="13.5">
      <c r="C428" s="38"/>
      <c r="F428" s="47"/>
    </row>
    <row r="429" spans="3:6" ht="13.5">
      <c r="C429" s="38"/>
      <c r="F429" s="47"/>
    </row>
    <row r="430" spans="3:6" ht="13.5">
      <c r="C430" s="38"/>
      <c r="F430" s="47"/>
    </row>
    <row r="431" spans="3:6" ht="13.5">
      <c r="C431" s="38"/>
      <c r="F431" s="47"/>
    </row>
    <row r="432" spans="3:6" ht="13.5">
      <c r="C432" s="38"/>
      <c r="F432" s="47"/>
    </row>
    <row r="433" spans="3:6" ht="13.5">
      <c r="C433" s="38"/>
      <c r="F433" s="47"/>
    </row>
    <row r="434" spans="3:6" ht="13.5">
      <c r="C434" s="38"/>
      <c r="F434" s="47"/>
    </row>
    <row r="435" spans="3:6" ht="13.5">
      <c r="C435" s="38"/>
      <c r="F435" s="47"/>
    </row>
    <row r="436" spans="3:6" ht="13.5">
      <c r="C436" s="38"/>
      <c r="F436" s="47"/>
    </row>
    <row r="437" spans="3:6" ht="13.5">
      <c r="C437" s="38"/>
      <c r="F437" s="47"/>
    </row>
    <row r="438" spans="3:6" ht="13.5">
      <c r="C438" s="38"/>
      <c r="F438" s="47"/>
    </row>
    <row r="439" spans="3:6" ht="13.5">
      <c r="C439" s="38"/>
      <c r="F439" s="47"/>
    </row>
    <row r="440" spans="3:6" ht="13.5">
      <c r="C440" s="38"/>
      <c r="F440" s="47"/>
    </row>
    <row r="441" spans="3:6" ht="13.5">
      <c r="C441" s="38"/>
      <c r="F441" s="47"/>
    </row>
    <row r="442" spans="3:6" ht="13.5">
      <c r="C442" s="38"/>
      <c r="F442" s="47"/>
    </row>
    <row r="443" spans="3:6" ht="13.5">
      <c r="C443" s="38"/>
      <c r="F443" s="47"/>
    </row>
    <row r="444" spans="3:6" ht="13.5">
      <c r="C444" s="38"/>
      <c r="F444" s="47"/>
    </row>
    <row r="445" spans="3:6" ht="13.5">
      <c r="C445" s="38"/>
      <c r="F445" s="47"/>
    </row>
    <row r="446" spans="3:6" ht="13.5">
      <c r="C446" s="38"/>
      <c r="F446" s="47"/>
    </row>
    <row r="447" spans="3:6" ht="13.5">
      <c r="C447" s="38"/>
      <c r="F447" s="47"/>
    </row>
    <row r="448" spans="3:6" ht="13.5">
      <c r="C448" s="38"/>
      <c r="F448" s="47"/>
    </row>
    <row r="449" spans="3:6" ht="13.5">
      <c r="C449" s="38"/>
      <c r="F449" s="47"/>
    </row>
    <row r="450" spans="3:6" ht="13.5">
      <c r="C450" s="38"/>
      <c r="F450" s="47"/>
    </row>
    <row r="451" spans="3:6" ht="13.5">
      <c r="C451" s="38"/>
      <c r="F451" s="47"/>
    </row>
    <row r="452" spans="3:6" ht="13.5">
      <c r="C452" s="38"/>
      <c r="F452" s="47"/>
    </row>
    <row r="453" spans="3:6" ht="13.5">
      <c r="C453" s="38"/>
      <c r="F453" s="47"/>
    </row>
    <row r="454" spans="3:6" ht="13.5">
      <c r="C454" s="38"/>
      <c r="F454" s="47"/>
    </row>
    <row r="455" spans="3:6" ht="13.5">
      <c r="C455" s="38"/>
      <c r="F455" s="47"/>
    </row>
    <row r="456" spans="3:6" ht="13.5">
      <c r="C456" s="38"/>
      <c r="F456" s="47"/>
    </row>
    <row r="457" spans="3:6" ht="13.5">
      <c r="C457" s="38"/>
      <c r="F457" s="47"/>
    </row>
    <row r="458" spans="3:6" ht="13.5">
      <c r="C458" s="38"/>
      <c r="F458" s="47"/>
    </row>
    <row r="459" spans="3:6" ht="13.5">
      <c r="C459" s="38"/>
      <c r="F459" s="47"/>
    </row>
    <row r="460" spans="3:6" ht="13.5">
      <c r="C460" s="38"/>
      <c r="F460" s="47"/>
    </row>
    <row r="461" spans="3:6" ht="13.5">
      <c r="C461" s="38"/>
      <c r="F461" s="47"/>
    </row>
    <row r="462" spans="3:6" ht="13.5">
      <c r="C462" s="38"/>
      <c r="F462" s="47"/>
    </row>
    <row r="463" spans="3:6" ht="13.5">
      <c r="C463" s="38"/>
      <c r="F463" s="47"/>
    </row>
    <row r="464" spans="3:6" ht="13.5">
      <c r="C464" s="38"/>
      <c r="F464" s="47"/>
    </row>
    <row r="465" spans="3:6" ht="13.5">
      <c r="C465" s="38"/>
      <c r="F465" s="47"/>
    </row>
    <row r="466" spans="3:6" ht="13.5">
      <c r="C466" s="38"/>
      <c r="F466" s="47"/>
    </row>
    <row r="467" spans="3:6" ht="13.5">
      <c r="C467" s="38"/>
      <c r="F467" s="47"/>
    </row>
    <row r="468" spans="3:6" ht="13.5">
      <c r="C468" s="38"/>
      <c r="F468" s="47"/>
    </row>
    <row r="469" spans="3:6" ht="13.5">
      <c r="C469" s="38"/>
      <c r="F469" s="47"/>
    </row>
    <row r="470" spans="3:6" ht="13.5">
      <c r="C470" s="38"/>
      <c r="F470" s="47"/>
    </row>
    <row r="471" spans="3:6" ht="13.5">
      <c r="C471" s="38"/>
      <c r="F471" s="47"/>
    </row>
    <row r="472" spans="3:6" ht="13.5">
      <c r="C472" s="38"/>
      <c r="F472" s="47"/>
    </row>
    <row r="473" spans="3:6" ht="13.5">
      <c r="C473" s="38"/>
      <c r="F473" s="47"/>
    </row>
    <row r="474" spans="3:6" ht="13.5">
      <c r="C474" s="38"/>
      <c r="F474" s="47"/>
    </row>
    <row r="475" spans="3:6" ht="13.5">
      <c r="C475" s="38"/>
      <c r="F475" s="47"/>
    </row>
    <row r="476" spans="3:6" ht="13.5">
      <c r="C476" s="38"/>
      <c r="F476" s="47"/>
    </row>
    <row r="477" spans="3:6" ht="13.5">
      <c r="C477" s="38"/>
      <c r="F477" s="47"/>
    </row>
    <row r="478" spans="3:6" ht="13.5">
      <c r="C478" s="38"/>
      <c r="F478" s="47"/>
    </row>
    <row r="479" spans="3:6" ht="13.5">
      <c r="C479" s="38"/>
      <c r="F479" s="47"/>
    </row>
    <row r="480" spans="3:6" ht="13.5">
      <c r="C480" s="38"/>
      <c r="F480" s="47"/>
    </row>
    <row r="481" spans="3:6" ht="13.5">
      <c r="C481" s="38"/>
      <c r="F481" s="47"/>
    </row>
    <row r="482" spans="3:6" ht="13.5">
      <c r="C482" s="38"/>
      <c r="F482" s="47"/>
    </row>
    <row r="483" spans="3:6" ht="13.5">
      <c r="C483" s="38"/>
      <c r="F483" s="47"/>
    </row>
    <row r="484" spans="3:6" ht="13.5">
      <c r="C484" s="38"/>
      <c r="F484" s="47"/>
    </row>
    <row r="485" spans="3:6" ht="13.5">
      <c r="C485" s="38"/>
      <c r="F485" s="47"/>
    </row>
    <row r="486" spans="3:6" ht="13.5">
      <c r="C486" s="38"/>
      <c r="F486" s="47"/>
    </row>
    <row r="487" spans="3:6" ht="13.5">
      <c r="C487" s="38"/>
      <c r="F487" s="47"/>
    </row>
    <row r="488" spans="3:6" ht="13.5">
      <c r="C488" s="38"/>
      <c r="F488" s="47"/>
    </row>
    <row r="489" spans="3:6" ht="13.5">
      <c r="C489" s="38"/>
      <c r="F489" s="47"/>
    </row>
    <row r="490" spans="3:6" ht="13.5">
      <c r="C490" s="38"/>
      <c r="F490" s="47"/>
    </row>
    <row r="491" spans="3:6" ht="13.5">
      <c r="C491" s="38"/>
      <c r="F491" s="47"/>
    </row>
    <row r="492" spans="3:6" ht="13.5">
      <c r="C492" s="38"/>
      <c r="F492" s="47"/>
    </row>
    <row r="493" spans="3:6" ht="13.5">
      <c r="C493" s="38"/>
      <c r="F493" s="47"/>
    </row>
    <row r="494" spans="3:6" ht="13.5">
      <c r="C494" s="38"/>
      <c r="F494" s="47"/>
    </row>
    <row r="495" spans="3:6" ht="13.5">
      <c r="C495" s="38"/>
      <c r="F495" s="47"/>
    </row>
    <row r="496" spans="3:6" ht="13.5">
      <c r="C496" s="38"/>
      <c r="F496" s="47"/>
    </row>
    <row r="497" spans="3:6" ht="13.5">
      <c r="C497" s="38"/>
      <c r="F497" s="47"/>
    </row>
  </sheetData>
  <sheetProtection/>
  <printOptions/>
  <pageMargins left="0" right="0" top="0.2755905511811024" bottom="0.1968503937007874" header="0.2755905511811024" footer="0.15748031496062992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4"/>
  <sheetViews>
    <sheetView zoomScale="80" zoomScaleNormal="80" workbookViewId="0" topLeftCell="C177">
      <selection activeCell="C98" sqref="C98:E182"/>
    </sheetView>
  </sheetViews>
  <sheetFormatPr defaultColWidth="9.140625" defaultRowHeight="35.25" customHeight="1" outlineLevelRow="2"/>
  <cols>
    <col min="1" max="1" width="11.00390625" style="85" bestFit="1" customWidth="1"/>
    <col min="2" max="2" width="16.28125" style="422" bestFit="1" customWidth="1"/>
    <col min="3" max="3" width="94.421875" style="75" customWidth="1"/>
    <col min="4" max="4" width="23.00390625" style="50" customWidth="1"/>
    <col min="5" max="5" width="15.00390625" style="54" customWidth="1"/>
    <col min="6" max="6" width="12.421875" style="50" customWidth="1"/>
    <col min="7" max="7" width="53.140625" style="50" bestFit="1" customWidth="1"/>
    <col min="8" max="8" width="3.57421875" style="50" bestFit="1" customWidth="1"/>
    <col min="9" max="9" width="30.8515625" style="50" bestFit="1" customWidth="1"/>
    <col min="10" max="10" width="23.7109375" style="54" customWidth="1"/>
    <col min="11" max="11" width="13.8515625" style="54" bestFit="1" customWidth="1"/>
    <col min="12" max="12" width="11.8515625" style="200" bestFit="1" customWidth="1"/>
    <col min="13" max="13" width="15.28125" style="50" customWidth="1"/>
    <col min="14" max="14" width="9.140625" style="50" customWidth="1"/>
    <col min="15" max="15" width="9.140625" style="167" customWidth="1"/>
    <col min="16" max="16" width="5.57421875" style="167" customWidth="1"/>
    <col min="17" max="17" width="9.140625" style="167" hidden="1" customWidth="1"/>
    <col min="18" max="18" width="32.7109375" style="167" customWidth="1"/>
    <col min="19" max="19" width="11.421875" style="167" customWidth="1"/>
    <col min="20" max="20" width="9.140625" style="167" customWidth="1"/>
    <col min="21" max="21" width="12.8515625" style="167" bestFit="1" customWidth="1"/>
    <col min="22" max="24" width="9.140625" style="167" customWidth="1"/>
    <col min="25" max="16384" width="9.140625" style="50" customWidth="1"/>
  </cols>
  <sheetData>
    <row r="1" spans="1:9" ht="37.5" customHeight="1" thickBot="1">
      <c r="A1" s="620" t="s">
        <v>675</v>
      </c>
      <c r="B1" s="620"/>
      <c r="C1" s="620"/>
      <c r="D1" s="620"/>
      <c r="E1" s="620"/>
      <c r="F1" s="620"/>
      <c r="G1" s="620"/>
      <c r="H1" s="620"/>
      <c r="I1" s="620"/>
    </row>
    <row r="2" spans="1:9" ht="35.25" customHeight="1" thickTop="1">
      <c r="A2" s="434" t="s">
        <v>264</v>
      </c>
      <c r="B2" s="435" t="s">
        <v>270</v>
      </c>
      <c r="C2" s="137" t="s">
        <v>271</v>
      </c>
      <c r="D2" s="137" t="s">
        <v>210</v>
      </c>
      <c r="E2" s="491" t="s">
        <v>211</v>
      </c>
      <c r="F2" s="137" t="s">
        <v>212</v>
      </c>
      <c r="G2" s="137" t="s">
        <v>213</v>
      </c>
      <c r="H2" s="137" t="s">
        <v>272</v>
      </c>
      <c r="I2" s="251" t="s">
        <v>273</v>
      </c>
    </row>
    <row r="3" spans="1:9" ht="35.25" customHeight="1" outlineLevel="2">
      <c r="A3" s="492">
        <v>7</v>
      </c>
      <c r="B3" s="493">
        <v>42751</v>
      </c>
      <c r="C3" s="494" t="s">
        <v>494</v>
      </c>
      <c r="D3" s="494" t="s">
        <v>592</v>
      </c>
      <c r="E3" s="495">
        <v>1903.2</v>
      </c>
      <c r="F3" s="494" t="s">
        <v>49</v>
      </c>
      <c r="G3" s="494" t="s">
        <v>124</v>
      </c>
      <c r="H3" s="494" t="s">
        <v>279</v>
      </c>
      <c r="I3" s="496" t="s">
        <v>308</v>
      </c>
    </row>
    <row r="4" spans="1:9" ht="35.25" customHeight="1" outlineLevel="1">
      <c r="A4" s="492"/>
      <c r="B4" s="493"/>
      <c r="C4" s="494"/>
      <c r="D4" s="494"/>
      <c r="E4" s="597">
        <f>SUBTOTAL(9,E3:E3)</f>
        <v>1903.2</v>
      </c>
      <c r="F4" s="593" t="s">
        <v>788</v>
      </c>
      <c r="G4" s="593" t="s">
        <v>124</v>
      </c>
      <c r="H4" s="494"/>
      <c r="I4" s="496"/>
    </row>
    <row r="5" spans="1:9" ht="35.25" customHeight="1" outlineLevel="2">
      <c r="A5" s="492">
        <v>125</v>
      </c>
      <c r="B5" s="493">
        <v>42920</v>
      </c>
      <c r="C5" s="494" t="s">
        <v>514</v>
      </c>
      <c r="D5" s="494" t="s">
        <v>595</v>
      </c>
      <c r="E5" s="495">
        <v>25.5</v>
      </c>
      <c r="F5" s="494" t="s">
        <v>50</v>
      </c>
      <c r="G5" s="494" t="s">
        <v>125</v>
      </c>
      <c r="H5" s="494" t="s">
        <v>278</v>
      </c>
      <c r="I5" s="496" t="s">
        <v>308</v>
      </c>
    </row>
    <row r="6" spans="1:9" ht="35.25" customHeight="1" outlineLevel="1">
      <c r="A6" s="492"/>
      <c r="B6" s="493"/>
      <c r="C6" s="494"/>
      <c r="D6" s="494"/>
      <c r="E6" s="597">
        <f>SUBTOTAL(9,E5:E5)</f>
        <v>25.5</v>
      </c>
      <c r="F6" s="593" t="s">
        <v>789</v>
      </c>
      <c r="G6" s="593" t="s">
        <v>125</v>
      </c>
      <c r="H6" s="494"/>
      <c r="I6" s="496"/>
    </row>
    <row r="7" spans="1:9" ht="35.25" customHeight="1" outlineLevel="2">
      <c r="A7" s="492">
        <v>6</v>
      </c>
      <c r="B7" s="493">
        <v>42751</v>
      </c>
      <c r="C7" s="494" t="s">
        <v>493</v>
      </c>
      <c r="D7" s="494" t="s">
        <v>591</v>
      </c>
      <c r="E7" s="495">
        <v>2730.74</v>
      </c>
      <c r="F7" s="494" t="s">
        <v>52</v>
      </c>
      <c r="G7" s="494" t="s">
        <v>126</v>
      </c>
      <c r="H7" s="494" t="s">
        <v>279</v>
      </c>
      <c r="I7" s="496" t="s">
        <v>308</v>
      </c>
    </row>
    <row r="8" spans="1:10" ht="35.25" customHeight="1" outlineLevel="2">
      <c r="A8" s="492">
        <v>8</v>
      </c>
      <c r="B8" s="493">
        <v>42765</v>
      </c>
      <c r="C8" s="494" t="s">
        <v>495</v>
      </c>
      <c r="D8" s="494" t="s">
        <v>593</v>
      </c>
      <c r="E8" s="495">
        <v>2000</v>
      </c>
      <c r="F8" s="494" t="s">
        <v>52</v>
      </c>
      <c r="G8" s="494" t="s">
        <v>126</v>
      </c>
      <c r="H8" s="494" t="s">
        <v>279</v>
      </c>
      <c r="I8" s="496" t="s">
        <v>308</v>
      </c>
      <c r="J8" s="54">
        <f>SUM(E7:E8)</f>
        <v>4730.74</v>
      </c>
    </row>
    <row r="9" spans="1:9" ht="35.25" customHeight="1" outlineLevel="2">
      <c r="A9" s="492">
        <v>22</v>
      </c>
      <c r="B9" s="493">
        <v>42801</v>
      </c>
      <c r="C9" s="494" t="s">
        <v>500</v>
      </c>
      <c r="D9" s="494" t="s">
        <v>596</v>
      </c>
      <c r="E9" s="495">
        <v>2500</v>
      </c>
      <c r="F9" s="494" t="s">
        <v>52</v>
      </c>
      <c r="G9" s="494" t="s">
        <v>126</v>
      </c>
      <c r="H9" s="494" t="s">
        <v>278</v>
      </c>
      <c r="I9" s="496" t="s">
        <v>358</v>
      </c>
    </row>
    <row r="10" spans="1:9" ht="35.25" customHeight="1" outlineLevel="2">
      <c r="A10" s="492">
        <v>109</v>
      </c>
      <c r="B10" s="493">
        <v>42874</v>
      </c>
      <c r="C10" s="494" t="s">
        <v>509</v>
      </c>
      <c r="D10" s="494" t="s">
        <v>596</v>
      </c>
      <c r="E10" s="495">
        <v>2500</v>
      </c>
      <c r="F10" s="494" t="s">
        <v>52</v>
      </c>
      <c r="G10" s="494" t="s">
        <v>126</v>
      </c>
      <c r="H10" s="494" t="s">
        <v>278</v>
      </c>
      <c r="I10" s="496" t="s">
        <v>358</v>
      </c>
    </row>
    <row r="11" spans="1:9" ht="35.25" customHeight="1" outlineLevel="2">
      <c r="A11" s="492">
        <v>151</v>
      </c>
      <c r="B11" s="493">
        <v>43017</v>
      </c>
      <c r="C11" s="494" t="s">
        <v>615</v>
      </c>
      <c r="D11" s="494" t="s">
        <v>593</v>
      </c>
      <c r="E11" s="495">
        <v>2500</v>
      </c>
      <c r="F11" s="494" t="s">
        <v>52</v>
      </c>
      <c r="G11" s="494" t="s">
        <v>126</v>
      </c>
      <c r="H11" s="494" t="s">
        <v>278</v>
      </c>
      <c r="I11" s="496" t="s">
        <v>308</v>
      </c>
    </row>
    <row r="12" spans="1:10" ht="35.25" customHeight="1" outlineLevel="2">
      <c r="A12" s="492">
        <v>160</v>
      </c>
      <c r="B12" s="493">
        <v>43056</v>
      </c>
      <c r="C12" s="494" t="s">
        <v>717</v>
      </c>
      <c r="D12" s="494" t="s">
        <v>595</v>
      </c>
      <c r="E12" s="495">
        <v>200</v>
      </c>
      <c r="F12" s="494" t="s">
        <v>52</v>
      </c>
      <c r="G12" s="494" t="s">
        <v>126</v>
      </c>
      <c r="H12" s="494" t="s">
        <v>278</v>
      </c>
      <c r="I12" s="496" t="s">
        <v>308</v>
      </c>
      <c r="J12" s="54">
        <f>SUM(E9:E12)</f>
        <v>7700</v>
      </c>
    </row>
    <row r="13" spans="1:10" ht="35.25" customHeight="1" outlineLevel="1">
      <c r="A13" s="492"/>
      <c r="B13" s="493"/>
      <c r="C13" s="494"/>
      <c r="D13" s="494"/>
      <c r="E13" s="597">
        <f>SUBTOTAL(9,E7:E12)</f>
        <v>12430.74</v>
      </c>
      <c r="F13" s="593" t="s">
        <v>790</v>
      </c>
      <c r="G13" s="593" t="s">
        <v>126</v>
      </c>
      <c r="H13" s="494"/>
      <c r="I13" s="496"/>
      <c r="J13" s="54">
        <f>SUM(J12,J8)</f>
        <v>12430.74</v>
      </c>
    </row>
    <row r="14" spans="1:9" ht="35.25" customHeight="1" outlineLevel="2">
      <c r="A14" s="492">
        <v>86</v>
      </c>
      <c r="B14" s="493">
        <v>42843</v>
      </c>
      <c r="C14" s="494" t="s">
        <v>504</v>
      </c>
      <c r="D14" s="494" t="s">
        <v>301</v>
      </c>
      <c r="E14" s="495">
        <v>15000</v>
      </c>
      <c r="F14" s="494" t="s">
        <v>54</v>
      </c>
      <c r="G14" s="494" t="s">
        <v>259</v>
      </c>
      <c r="H14" s="494" t="s">
        <v>278</v>
      </c>
      <c r="I14" s="496" t="s">
        <v>301</v>
      </c>
    </row>
    <row r="15" spans="1:9" ht="35.25" customHeight="1" outlineLevel="2">
      <c r="A15" s="492">
        <v>130</v>
      </c>
      <c r="B15" s="493">
        <v>42948</v>
      </c>
      <c r="C15" s="494" t="s">
        <v>516</v>
      </c>
      <c r="D15" s="494" t="s">
        <v>301</v>
      </c>
      <c r="E15" s="495">
        <v>3150</v>
      </c>
      <c r="F15" s="494" t="s">
        <v>54</v>
      </c>
      <c r="G15" s="494" t="s">
        <v>259</v>
      </c>
      <c r="H15" s="494" t="s">
        <v>278</v>
      </c>
      <c r="I15" s="496" t="s">
        <v>301</v>
      </c>
    </row>
    <row r="16" spans="1:9" ht="35.25" customHeight="1" outlineLevel="2">
      <c r="A16" s="492">
        <v>163</v>
      </c>
      <c r="B16" s="493">
        <v>43067</v>
      </c>
      <c r="C16" s="494" t="s">
        <v>718</v>
      </c>
      <c r="D16" s="494" t="s">
        <v>724</v>
      </c>
      <c r="E16" s="495">
        <v>1512.5</v>
      </c>
      <c r="F16" s="494" t="s">
        <v>54</v>
      </c>
      <c r="G16" s="494" t="s">
        <v>259</v>
      </c>
      <c r="H16" s="494" t="s">
        <v>278</v>
      </c>
      <c r="I16" s="496" t="s">
        <v>308</v>
      </c>
    </row>
    <row r="17" spans="1:9" ht="35.25" customHeight="1" outlineLevel="1">
      <c r="A17" s="492"/>
      <c r="B17" s="493"/>
      <c r="C17" s="494"/>
      <c r="D17" s="494"/>
      <c r="E17" s="597">
        <f>SUBTOTAL(9,E14:E16)</f>
        <v>19662.5</v>
      </c>
      <c r="F17" s="593" t="s">
        <v>791</v>
      </c>
      <c r="G17" s="593" t="s">
        <v>259</v>
      </c>
      <c r="H17" s="494"/>
      <c r="I17" s="496"/>
    </row>
    <row r="18" spans="1:9" ht="35.25" customHeight="1" outlineLevel="2">
      <c r="A18" s="492">
        <v>19</v>
      </c>
      <c r="B18" s="493">
        <v>42786</v>
      </c>
      <c r="C18" s="494" t="s">
        <v>498</v>
      </c>
      <c r="D18" s="494" t="s">
        <v>595</v>
      </c>
      <c r="E18" s="495">
        <v>14.6</v>
      </c>
      <c r="F18" s="494" t="s">
        <v>58</v>
      </c>
      <c r="G18" s="494" t="s">
        <v>71</v>
      </c>
      <c r="H18" s="494" t="s">
        <v>278</v>
      </c>
      <c r="I18" s="496" t="s">
        <v>308</v>
      </c>
    </row>
    <row r="19" spans="1:9" ht="35.25" customHeight="1" outlineLevel="2">
      <c r="A19" s="492">
        <v>164</v>
      </c>
      <c r="B19" s="493">
        <v>43067</v>
      </c>
      <c r="C19" s="494" t="s">
        <v>719</v>
      </c>
      <c r="D19" s="494" t="s">
        <v>595</v>
      </c>
      <c r="E19" s="495">
        <v>8.8</v>
      </c>
      <c r="F19" s="494" t="s">
        <v>58</v>
      </c>
      <c r="G19" s="494" t="s">
        <v>71</v>
      </c>
      <c r="H19" s="494" t="s">
        <v>278</v>
      </c>
      <c r="I19" s="496" t="s">
        <v>308</v>
      </c>
    </row>
    <row r="20" spans="1:9" ht="35.25" customHeight="1" outlineLevel="1">
      <c r="A20" s="492"/>
      <c r="B20" s="493"/>
      <c r="C20" s="494"/>
      <c r="D20" s="494"/>
      <c r="E20" s="597">
        <f>SUBTOTAL(9,E18:E19)</f>
        <v>23.4</v>
      </c>
      <c r="F20" s="593" t="s">
        <v>792</v>
      </c>
      <c r="G20" s="593" t="s">
        <v>71</v>
      </c>
      <c r="H20" s="494"/>
      <c r="I20" s="496"/>
    </row>
    <row r="21" spans="1:9" ht="35.25" customHeight="1" outlineLevel="2">
      <c r="A21" s="492">
        <v>155</v>
      </c>
      <c r="B21" s="493">
        <v>43031</v>
      </c>
      <c r="C21" s="494" t="s">
        <v>715</v>
      </c>
      <c r="D21" s="494" t="s">
        <v>594</v>
      </c>
      <c r="E21" s="495">
        <v>233.97</v>
      </c>
      <c r="F21" s="494" t="s">
        <v>135</v>
      </c>
      <c r="G21" s="494" t="s">
        <v>158</v>
      </c>
      <c r="H21" s="494" t="s">
        <v>278</v>
      </c>
      <c r="I21" s="496" t="s">
        <v>308</v>
      </c>
    </row>
    <row r="22" spans="1:9" ht="35.25" customHeight="1" outlineLevel="1">
      <c r="A22" s="492"/>
      <c r="B22" s="493"/>
      <c r="C22" s="494"/>
      <c r="D22" s="494"/>
      <c r="E22" s="597">
        <f>SUBTOTAL(9,E21:E21)</f>
        <v>233.97</v>
      </c>
      <c r="F22" s="593" t="s">
        <v>793</v>
      </c>
      <c r="G22" s="593" t="s">
        <v>158</v>
      </c>
      <c r="H22" s="494"/>
      <c r="I22" s="496"/>
    </row>
    <row r="23" spans="1:9" ht="35.25" customHeight="1" outlineLevel="2">
      <c r="A23" s="492">
        <v>1</v>
      </c>
      <c r="B23" s="493">
        <v>42737</v>
      </c>
      <c r="C23" s="494" t="s">
        <v>449</v>
      </c>
      <c r="D23" s="494" t="s">
        <v>277</v>
      </c>
      <c r="E23" s="495">
        <v>6.95</v>
      </c>
      <c r="F23" s="494" t="s">
        <v>375</v>
      </c>
      <c r="G23" s="494" t="s">
        <v>233</v>
      </c>
      <c r="H23" s="494" t="s">
        <v>279</v>
      </c>
      <c r="I23" s="496" t="s">
        <v>308</v>
      </c>
    </row>
    <row r="24" spans="1:10" ht="35.25" customHeight="1" outlineLevel="2">
      <c r="A24" s="492">
        <v>3</v>
      </c>
      <c r="B24" s="497">
        <v>42737</v>
      </c>
      <c r="C24" s="498" t="s">
        <v>450</v>
      </c>
      <c r="D24" s="498" t="s">
        <v>277</v>
      </c>
      <c r="E24" s="499">
        <v>7</v>
      </c>
      <c r="F24" s="498" t="s">
        <v>375</v>
      </c>
      <c r="G24" s="498" t="s">
        <v>233</v>
      </c>
      <c r="H24" s="498" t="s">
        <v>279</v>
      </c>
      <c r="I24" s="505" t="s">
        <v>358</v>
      </c>
      <c r="J24" s="54">
        <f>E23+E24</f>
        <v>13.95</v>
      </c>
    </row>
    <row r="25" spans="1:9" ht="35.25" customHeight="1" outlineLevel="2">
      <c r="A25" s="492">
        <v>9</v>
      </c>
      <c r="B25" s="493">
        <v>42767</v>
      </c>
      <c r="C25" s="494" t="s">
        <v>496</v>
      </c>
      <c r="D25" s="494" t="s">
        <v>277</v>
      </c>
      <c r="E25" s="495">
        <v>6.95</v>
      </c>
      <c r="F25" s="494" t="s">
        <v>375</v>
      </c>
      <c r="G25" s="494" t="s">
        <v>233</v>
      </c>
      <c r="H25" s="494" t="s">
        <v>278</v>
      </c>
      <c r="I25" s="496" t="s">
        <v>308</v>
      </c>
    </row>
    <row r="26" spans="1:9" ht="35.25" customHeight="1" outlineLevel="2">
      <c r="A26" s="492">
        <v>10</v>
      </c>
      <c r="B26" s="497">
        <v>42767</v>
      </c>
      <c r="C26" s="498" t="s">
        <v>519</v>
      </c>
      <c r="D26" s="498" t="s">
        <v>277</v>
      </c>
      <c r="E26" s="499">
        <v>7</v>
      </c>
      <c r="F26" s="498" t="s">
        <v>375</v>
      </c>
      <c r="G26" s="498" t="s">
        <v>233</v>
      </c>
      <c r="H26" s="498" t="s">
        <v>278</v>
      </c>
      <c r="I26" s="505" t="s">
        <v>358</v>
      </c>
    </row>
    <row r="27" spans="1:9" ht="35.25" customHeight="1" outlineLevel="2">
      <c r="A27" s="492">
        <v>14</v>
      </c>
      <c r="B27" s="493">
        <v>42779</v>
      </c>
      <c r="C27" s="494" t="s">
        <v>772</v>
      </c>
      <c r="D27" s="494" t="s">
        <v>277</v>
      </c>
      <c r="E27" s="495">
        <v>5.54</v>
      </c>
      <c r="F27" s="494" t="s">
        <v>375</v>
      </c>
      <c r="G27" s="494" t="s">
        <v>233</v>
      </c>
      <c r="H27" s="494" t="s">
        <v>278</v>
      </c>
      <c r="I27" s="496" t="s">
        <v>308</v>
      </c>
    </row>
    <row r="28" spans="1:9" ht="35.25" customHeight="1" outlineLevel="2">
      <c r="A28" s="492">
        <v>20</v>
      </c>
      <c r="B28" s="493">
        <v>42795</v>
      </c>
      <c r="C28" s="494" t="s">
        <v>499</v>
      </c>
      <c r="D28" s="494" t="s">
        <v>277</v>
      </c>
      <c r="E28" s="495">
        <v>6.95</v>
      </c>
      <c r="F28" s="494" t="s">
        <v>375</v>
      </c>
      <c r="G28" s="494" t="s">
        <v>233</v>
      </c>
      <c r="H28" s="494" t="s">
        <v>278</v>
      </c>
      <c r="I28" s="496" t="s">
        <v>308</v>
      </c>
    </row>
    <row r="29" spans="1:9" ht="35.25" customHeight="1" outlineLevel="2">
      <c r="A29" s="492">
        <v>21</v>
      </c>
      <c r="B29" s="497">
        <v>42795</v>
      </c>
      <c r="C29" s="498" t="s">
        <v>520</v>
      </c>
      <c r="D29" s="498" t="s">
        <v>277</v>
      </c>
      <c r="E29" s="499">
        <v>7</v>
      </c>
      <c r="F29" s="498" t="s">
        <v>375</v>
      </c>
      <c r="G29" s="498" t="s">
        <v>233</v>
      </c>
      <c r="H29" s="498" t="s">
        <v>278</v>
      </c>
      <c r="I29" s="505" t="s">
        <v>358</v>
      </c>
    </row>
    <row r="30" spans="1:9" ht="35.25" customHeight="1" outlineLevel="2">
      <c r="A30" s="492">
        <v>24</v>
      </c>
      <c r="B30" s="493">
        <v>42814</v>
      </c>
      <c r="C30" s="494" t="s">
        <v>601</v>
      </c>
      <c r="D30" s="494" t="s">
        <v>277</v>
      </c>
      <c r="E30" s="495">
        <v>0.54</v>
      </c>
      <c r="F30" s="494" t="s">
        <v>375</v>
      </c>
      <c r="G30" s="494" t="s">
        <v>233</v>
      </c>
      <c r="H30" s="494" t="s">
        <v>278</v>
      </c>
      <c r="I30" s="496" t="s">
        <v>308</v>
      </c>
    </row>
    <row r="31" spans="1:9" ht="35.25" customHeight="1" outlineLevel="2">
      <c r="A31" s="492">
        <v>28</v>
      </c>
      <c r="B31" s="493">
        <v>42828</v>
      </c>
      <c r="C31" s="494" t="s">
        <v>502</v>
      </c>
      <c r="D31" s="494" t="s">
        <v>277</v>
      </c>
      <c r="E31" s="495">
        <v>6.95</v>
      </c>
      <c r="F31" s="494" t="s">
        <v>375</v>
      </c>
      <c r="G31" s="494" t="s">
        <v>233</v>
      </c>
      <c r="H31" s="494" t="s">
        <v>278</v>
      </c>
      <c r="I31" s="496" t="s">
        <v>308</v>
      </c>
    </row>
    <row r="32" spans="1:9" ht="35.25" customHeight="1" outlineLevel="2">
      <c r="A32" s="492">
        <v>31</v>
      </c>
      <c r="B32" s="497">
        <v>42828</v>
      </c>
      <c r="C32" s="498" t="s">
        <v>521</v>
      </c>
      <c r="D32" s="498" t="s">
        <v>277</v>
      </c>
      <c r="E32" s="499">
        <v>7</v>
      </c>
      <c r="F32" s="498" t="s">
        <v>375</v>
      </c>
      <c r="G32" s="498" t="s">
        <v>233</v>
      </c>
      <c r="H32" s="498" t="s">
        <v>278</v>
      </c>
      <c r="I32" s="505" t="s">
        <v>358</v>
      </c>
    </row>
    <row r="33" spans="1:9" ht="35.25" customHeight="1" outlineLevel="2">
      <c r="A33" s="492">
        <v>97</v>
      </c>
      <c r="B33" s="506">
        <v>42855</v>
      </c>
      <c r="C33" s="501" t="s">
        <v>731</v>
      </c>
      <c r="D33" s="501" t="s">
        <v>732</v>
      </c>
      <c r="E33" s="502">
        <v>4</v>
      </c>
      <c r="F33" s="501" t="s">
        <v>375</v>
      </c>
      <c r="G33" s="501" t="s">
        <v>233</v>
      </c>
      <c r="H33" s="501" t="s">
        <v>278</v>
      </c>
      <c r="I33" s="592" t="s">
        <v>308</v>
      </c>
    </row>
    <row r="34" spans="1:9" ht="35.25" customHeight="1" outlineLevel="2">
      <c r="A34" s="492">
        <v>98</v>
      </c>
      <c r="B34" s="493">
        <v>42857</v>
      </c>
      <c r="C34" s="494" t="s">
        <v>506</v>
      </c>
      <c r="D34" s="494" t="s">
        <v>277</v>
      </c>
      <c r="E34" s="495">
        <v>6.95</v>
      </c>
      <c r="F34" s="494" t="s">
        <v>375</v>
      </c>
      <c r="G34" s="494" t="s">
        <v>233</v>
      </c>
      <c r="H34" s="494" t="s">
        <v>278</v>
      </c>
      <c r="I34" s="496" t="s">
        <v>308</v>
      </c>
    </row>
    <row r="35" spans="1:9" ht="35.25" customHeight="1" outlineLevel="2">
      <c r="A35" s="492">
        <v>100</v>
      </c>
      <c r="B35" s="497">
        <v>42857</v>
      </c>
      <c r="C35" s="498" t="s">
        <v>582</v>
      </c>
      <c r="D35" s="498" t="s">
        <v>277</v>
      </c>
      <c r="E35" s="499">
        <v>7</v>
      </c>
      <c r="F35" s="498" t="s">
        <v>375</v>
      </c>
      <c r="G35" s="498" t="s">
        <v>233</v>
      </c>
      <c r="H35" s="498" t="s">
        <v>278</v>
      </c>
      <c r="I35" s="505" t="s">
        <v>358</v>
      </c>
    </row>
    <row r="36" spans="1:9" ht="35.25" customHeight="1" outlineLevel="2">
      <c r="A36" s="492">
        <v>110</v>
      </c>
      <c r="B36" s="506">
        <v>42885</v>
      </c>
      <c r="C36" s="501" t="s">
        <v>733</v>
      </c>
      <c r="D36" s="501" t="s">
        <v>732</v>
      </c>
      <c r="E36" s="502">
        <v>4</v>
      </c>
      <c r="F36" s="501" t="s">
        <v>375</v>
      </c>
      <c r="G36" s="501" t="s">
        <v>233</v>
      </c>
      <c r="H36" s="501" t="s">
        <v>278</v>
      </c>
      <c r="I36" s="592" t="s">
        <v>308</v>
      </c>
    </row>
    <row r="37" spans="1:9" ht="35.25" customHeight="1" outlineLevel="2">
      <c r="A37" s="492">
        <v>111</v>
      </c>
      <c r="B37" s="493">
        <v>42887</v>
      </c>
      <c r="C37" s="494" t="s">
        <v>510</v>
      </c>
      <c r="D37" s="494" t="s">
        <v>277</v>
      </c>
      <c r="E37" s="495">
        <v>6.95</v>
      </c>
      <c r="F37" s="494" t="s">
        <v>375</v>
      </c>
      <c r="G37" s="494" t="s">
        <v>233</v>
      </c>
      <c r="H37" s="494" t="s">
        <v>278</v>
      </c>
      <c r="I37" s="496" t="s">
        <v>308</v>
      </c>
    </row>
    <row r="38" spans="1:9" ht="35.25" customHeight="1" outlineLevel="2">
      <c r="A38" s="492">
        <v>112</v>
      </c>
      <c r="B38" s="497">
        <v>42887</v>
      </c>
      <c r="C38" s="498" t="s">
        <v>588</v>
      </c>
      <c r="D38" s="498" t="s">
        <v>277</v>
      </c>
      <c r="E38" s="499">
        <v>7</v>
      </c>
      <c r="F38" s="498" t="s">
        <v>375</v>
      </c>
      <c r="G38" s="498" t="s">
        <v>233</v>
      </c>
      <c r="H38" s="498" t="s">
        <v>278</v>
      </c>
      <c r="I38" s="505" t="s">
        <v>358</v>
      </c>
    </row>
    <row r="39" spans="1:9" ht="35.25" customHeight="1" outlineLevel="2">
      <c r="A39" s="492">
        <v>118</v>
      </c>
      <c r="B39" s="506">
        <v>42916</v>
      </c>
      <c r="C39" s="501" t="s">
        <v>734</v>
      </c>
      <c r="D39" s="501" t="s">
        <v>732</v>
      </c>
      <c r="E39" s="502">
        <v>4</v>
      </c>
      <c r="F39" s="501" t="s">
        <v>375</v>
      </c>
      <c r="G39" s="501" t="s">
        <v>233</v>
      </c>
      <c r="H39" s="501" t="s">
        <v>278</v>
      </c>
      <c r="I39" s="592" t="s">
        <v>308</v>
      </c>
    </row>
    <row r="40" spans="1:9" ht="35.25" customHeight="1" outlineLevel="2">
      <c r="A40" s="492">
        <v>121</v>
      </c>
      <c r="B40" s="493">
        <v>42919</v>
      </c>
      <c r="C40" s="494" t="s">
        <v>513</v>
      </c>
      <c r="D40" s="494" t="s">
        <v>277</v>
      </c>
      <c r="E40" s="495">
        <v>6.95</v>
      </c>
      <c r="F40" s="494" t="s">
        <v>375</v>
      </c>
      <c r="G40" s="494" t="s">
        <v>233</v>
      </c>
      <c r="H40" s="494" t="s">
        <v>278</v>
      </c>
      <c r="I40" s="496" t="s">
        <v>308</v>
      </c>
    </row>
    <row r="41" spans="1:9" ht="35.25" customHeight="1" outlineLevel="2">
      <c r="A41" s="492">
        <v>123</v>
      </c>
      <c r="B41" s="497">
        <v>42919</v>
      </c>
      <c r="C41" s="498" t="s">
        <v>589</v>
      </c>
      <c r="D41" s="498" t="s">
        <v>277</v>
      </c>
      <c r="E41" s="499">
        <v>7</v>
      </c>
      <c r="F41" s="498" t="s">
        <v>375</v>
      </c>
      <c r="G41" s="498" t="s">
        <v>233</v>
      </c>
      <c r="H41" s="498" t="s">
        <v>278</v>
      </c>
      <c r="I41" s="505" t="s">
        <v>358</v>
      </c>
    </row>
    <row r="42" spans="1:9" ht="35.25" customHeight="1" outlineLevel="2">
      <c r="A42" s="492">
        <v>127</v>
      </c>
      <c r="B42" s="506">
        <v>42946</v>
      </c>
      <c r="C42" s="501" t="s">
        <v>735</v>
      </c>
      <c r="D42" s="501" t="s">
        <v>732</v>
      </c>
      <c r="E42" s="502">
        <v>4</v>
      </c>
      <c r="F42" s="501" t="s">
        <v>375</v>
      </c>
      <c r="G42" s="501" t="s">
        <v>233</v>
      </c>
      <c r="H42" s="501" t="s">
        <v>278</v>
      </c>
      <c r="I42" s="592" t="s">
        <v>308</v>
      </c>
    </row>
    <row r="43" spans="1:9" ht="35.25" customHeight="1" outlineLevel="2">
      <c r="A43" s="492">
        <v>128</v>
      </c>
      <c r="B43" s="497">
        <v>42948</v>
      </c>
      <c r="C43" s="498" t="s">
        <v>590</v>
      </c>
      <c r="D43" s="498" t="s">
        <v>277</v>
      </c>
      <c r="E43" s="499">
        <v>7</v>
      </c>
      <c r="F43" s="498" t="s">
        <v>375</v>
      </c>
      <c r="G43" s="498" t="s">
        <v>233</v>
      </c>
      <c r="H43" s="498" t="s">
        <v>278</v>
      </c>
      <c r="I43" s="505" t="s">
        <v>358</v>
      </c>
    </row>
    <row r="44" spans="1:9" ht="35.25" customHeight="1" outlineLevel="2">
      <c r="A44" s="492">
        <v>129</v>
      </c>
      <c r="B44" s="493">
        <v>42948</v>
      </c>
      <c r="C44" s="494" t="s">
        <v>515</v>
      </c>
      <c r="D44" s="494" t="s">
        <v>277</v>
      </c>
      <c r="E44" s="495">
        <v>6.95</v>
      </c>
      <c r="F44" s="494" t="s">
        <v>375</v>
      </c>
      <c r="G44" s="494" t="s">
        <v>233</v>
      </c>
      <c r="H44" s="494" t="s">
        <v>278</v>
      </c>
      <c r="I44" s="496" t="s">
        <v>308</v>
      </c>
    </row>
    <row r="45" spans="1:9" ht="35.25" customHeight="1" outlineLevel="2">
      <c r="A45" s="492">
        <v>133</v>
      </c>
      <c r="B45" s="497">
        <v>42971</v>
      </c>
      <c r="C45" s="497" t="s">
        <v>644</v>
      </c>
      <c r="D45" s="498" t="s">
        <v>277</v>
      </c>
      <c r="E45" s="499">
        <v>6</v>
      </c>
      <c r="F45" s="498" t="s">
        <v>375</v>
      </c>
      <c r="G45" s="498" t="s">
        <v>233</v>
      </c>
      <c r="H45" s="498" t="s">
        <v>278</v>
      </c>
      <c r="I45" s="505" t="s">
        <v>358</v>
      </c>
    </row>
    <row r="46" spans="1:9" ht="35.25" customHeight="1" outlineLevel="2">
      <c r="A46" s="492">
        <v>137</v>
      </c>
      <c r="B46" s="506">
        <v>42978</v>
      </c>
      <c r="C46" s="501" t="s">
        <v>736</v>
      </c>
      <c r="D46" s="501" t="s">
        <v>732</v>
      </c>
      <c r="E46" s="502">
        <v>4</v>
      </c>
      <c r="F46" s="501" t="s">
        <v>375</v>
      </c>
      <c r="G46" s="501" t="s">
        <v>233</v>
      </c>
      <c r="H46" s="501" t="s">
        <v>278</v>
      </c>
      <c r="I46" s="592" t="s">
        <v>308</v>
      </c>
    </row>
    <row r="47" spans="1:9" ht="35.25" customHeight="1" outlineLevel="2">
      <c r="A47" s="492">
        <v>138</v>
      </c>
      <c r="B47" s="493">
        <v>42979</v>
      </c>
      <c r="C47" s="494" t="s">
        <v>611</v>
      </c>
      <c r="D47" s="494" t="s">
        <v>277</v>
      </c>
      <c r="E47" s="495">
        <v>6.95</v>
      </c>
      <c r="F47" s="494" t="s">
        <v>375</v>
      </c>
      <c r="G47" s="494" t="s">
        <v>233</v>
      </c>
      <c r="H47" s="494" t="s">
        <v>278</v>
      </c>
      <c r="I47" s="496" t="s">
        <v>308</v>
      </c>
    </row>
    <row r="48" spans="1:9" ht="35.25" customHeight="1" outlineLevel="2">
      <c r="A48" s="492">
        <v>141</v>
      </c>
      <c r="B48" s="497">
        <v>42993</v>
      </c>
      <c r="C48" s="497" t="s">
        <v>645</v>
      </c>
      <c r="D48" s="498"/>
      <c r="E48" s="499">
        <v>6.98</v>
      </c>
      <c r="F48" s="498" t="s">
        <v>375</v>
      </c>
      <c r="G48" s="498" t="s">
        <v>233</v>
      </c>
      <c r="H48" s="498" t="s">
        <v>278</v>
      </c>
      <c r="I48" s="505" t="s">
        <v>358</v>
      </c>
    </row>
    <row r="49" spans="1:9" ht="35.25" customHeight="1" outlineLevel="2">
      <c r="A49" s="492">
        <v>147</v>
      </c>
      <c r="B49" s="506">
        <v>43008</v>
      </c>
      <c r="C49" s="501" t="s">
        <v>737</v>
      </c>
      <c r="D49" s="501" t="s">
        <v>732</v>
      </c>
      <c r="E49" s="502">
        <v>4</v>
      </c>
      <c r="F49" s="501" t="s">
        <v>375</v>
      </c>
      <c r="G49" s="501" t="s">
        <v>233</v>
      </c>
      <c r="H49" s="501" t="s">
        <v>278</v>
      </c>
      <c r="I49" s="592" t="s">
        <v>308</v>
      </c>
    </row>
    <row r="50" spans="1:9" ht="35.25" customHeight="1" outlineLevel="2">
      <c r="A50" s="492">
        <v>150</v>
      </c>
      <c r="B50" s="493">
        <v>43009</v>
      </c>
      <c r="C50" s="494" t="s">
        <v>614</v>
      </c>
      <c r="D50" s="494" t="s">
        <v>277</v>
      </c>
      <c r="E50" s="495">
        <v>6.95</v>
      </c>
      <c r="F50" s="494" t="s">
        <v>375</v>
      </c>
      <c r="G50" s="494" t="s">
        <v>233</v>
      </c>
      <c r="H50" s="494" t="s">
        <v>278</v>
      </c>
      <c r="I50" s="496" t="s">
        <v>308</v>
      </c>
    </row>
    <row r="51" spans="1:9" ht="35.25" customHeight="1" outlineLevel="2">
      <c r="A51" s="492">
        <v>156</v>
      </c>
      <c r="B51" s="506">
        <v>43039</v>
      </c>
      <c r="C51" s="501" t="s">
        <v>738</v>
      </c>
      <c r="D51" s="501" t="s">
        <v>732</v>
      </c>
      <c r="E51" s="502">
        <v>4</v>
      </c>
      <c r="F51" s="569" t="s">
        <v>375</v>
      </c>
      <c r="G51" s="569" t="s">
        <v>233</v>
      </c>
      <c r="H51" s="501" t="s">
        <v>278</v>
      </c>
      <c r="I51" s="592" t="s">
        <v>308</v>
      </c>
    </row>
    <row r="52" spans="1:9" ht="35.25" customHeight="1" outlineLevel="2">
      <c r="A52" s="492">
        <v>157</v>
      </c>
      <c r="B52" s="493">
        <v>43040</v>
      </c>
      <c r="C52" s="494" t="s">
        <v>716</v>
      </c>
      <c r="D52" s="494" t="s">
        <v>277</v>
      </c>
      <c r="E52" s="495">
        <v>6.95</v>
      </c>
      <c r="F52" s="494" t="s">
        <v>375</v>
      </c>
      <c r="G52" s="494" t="s">
        <v>233</v>
      </c>
      <c r="H52" s="494" t="s">
        <v>278</v>
      </c>
      <c r="I52" s="496" t="s">
        <v>308</v>
      </c>
    </row>
    <row r="53" spans="1:9" ht="35.25" customHeight="1" outlineLevel="2">
      <c r="A53" s="492">
        <v>162</v>
      </c>
      <c r="B53" s="493">
        <v>43056</v>
      </c>
      <c r="C53" s="494" t="s">
        <v>773</v>
      </c>
      <c r="D53" s="494" t="s">
        <v>277</v>
      </c>
      <c r="E53" s="495">
        <v>5.54</v>
      </c>
      <c r="F53" s="494" t="s">
        <v>375</v>
      </c>
      <c r="G53" s="494" t="s">
        <v>233</v>
      </c>
      <c r="H53" s="494" t="s">
        <v>278</v>
      </c>
      <c r="I53" s="496" t="s">
        <v>308</v>
      </c>
    </row>
    <row r="54" spans="1:9" ht="35.25" customHeight="1" outlineLevel="2">
      <c r="A54" s="492">
        <v>165</v>
      </c>
      <c r="B54" s="506">
        <v>43069</v>
      </c>
      <c r="C54" s="501" t="s">
        <v>739</v>
      </c>
      <c r="D54" s="501" t="s">
        <v>732</v>
      </c>
      <c r="E54" s="502">
        <v>4</v>
      </c>
      <c r="F54" s="569" t="s">
        <v>375</v>
      </c>
      <c r="G54" s="569" t="s">
        <v>233</v>
      </c>
      <c r="H54" s="501" t="s">
        <v>278</v>
      </c>
      <c r="I54" s="592" t="s">
        <v>308</v>
      </c>
    </row>
    <row r="55" spans="1:9" ht="35.25" customHeight="1" outlineLevel="2">
      <c r="A55" s="492">
        <v>166</v>
      </c>
      <c r="B55" s="493">
        <v>43070</v>
      </c>
      <c r="C55" s="494" t="s">
        <v>720</v>
      </c>
      <c r="D55" s="494" t="s">
        <v>277</v>
      </c>
      <c r="E55" s="495">
        <v>6.95</v>
      </c>
      <c r="F55" s="494" t="s">
        <v>375</v>
      </c>
      <c r="G55" s="494" t="s">
        <v>233</v>
      </c>
      <c r="H55" s="494" t="s">
        <v>278</v>
      </c>
      <c r="I55" s="496" t="s">
        <v>308</v>
      </c>
    </row>
    <row r="56" spans="1:9" ht="35.25" customHeight="1" outlineLevel="2">
      <c r="A56" s="492">
        <v>168</v>
      </c>
      <c r="B56" s="493">
        <v>43089</v>
      </c>
      <c r="C56" s="494" t="s">
        <v>774</v>
      </c>
      <c r="D56" s="494" t="s">
        <v>277</v>
      </c>
      <c r="E56" s="495">
        <v>5.54</v>
      </c>
      <c r="F56" s="494" t="s">
        <v>375</v>
      </c>
      <c r="G56" s="494" t="s">
        <v>233</v>
      </c>
      <c r="H56" s="494" t="s">
        <v>278</v>
      </c>
      <c r="I56" s="496" t="s">
        <v>308</v>
      </c>
    </row>
    <row r="57" spans="1:9" ht="35.25" customHeight="1" outlineLevel="2">
      <c r="A57" s="492">
        <v>170</v>
      </c>
      <c r="B57" s="493">
        <v>43089</v>
      </c>
      <c r="C57" s="494" t="s">
        <v>777</v>
      </c>
      <c r="D57" s="494" t="s">
        <v>277</v>
      </c>
      <c r="E57" s="495">
        <v>5.54</v>
      </c>
      <c r="F57" s="436" t="s">
        <v>375</v>
      </c>
      <c r="G57" s="436" t="s">
        <v>233</v>
      </c>
      <c r="H57" s="494" t="s">
        <v>278</v>
      </c>
      <c r="I57" s="496" t="s">
        <v>308</v>
      </c>
    </row>
    <row r="58" spans="1:9" ht="35.25" customHeight="1" outlineLevel="2">
      <c r="A58" s="492">
        <v>172</v>
      </c>
      <c r="B58" s="493">
        <v>43089</v>
      </c>
      <c r="C58" s="494" t="s">
        <v>778</v>
      </c>
      <c r="D58" s="494" t="s">
        <v>277</v>
      </c>
      <c r="E58" s="495">
        <v>5.54</v>
      </c>
      <c r="F58" s="494" t="s">
        <v>375</v>
      </c>
      <c r="G58" s="494" t="s">
        <v>233</v>
      </c>
      <c r="H58" s="494" t="s">
        <v>278</v>
      </c>
      <c r="I58" s="496" t="s">
        <v>308</v>
      </c>
    </row>
    <row r="59" spans="1:9" ht="35.25" customHeight="1" outlineLevel="2">
      <c r="A59" s="492">
        <v>174</v>
      </c>
      <c r="B59" s="493">
        <v>43089</v>
      </c>
      <c r="C59" s="494" t="s">
        <v>779</v>
      </c>
      <c r="D59" s="494" t="s">
        <v>277</v>
      </c>
      <c r="E59" s="495">
        <v>5.54</v>
      </c>
      <c r="F59" s="436" t="s">
        <v>375</v>
      </c>
      <c r="G59" s="436" t="s">
        <v>233</v>
      </c>
      <c r="H59" s="494" t="s">
        <v>278</v>
      </c>
      <c r="I59" s="496" t="s">
        <v>308</v>
      </c>
    </row>
    <row r="60" spans="1:9" ht="35.25" customHeight="1" outlineLevel="2">
      <c r="A60" s="492">
        <v>176</v>
      </c>
      <c r="B60" s="493">
        <v>43089</v>
      </c>
      <c r="C60" s="494" t="s">
        <v>780</v>
      </c>
      <c r="D60" s="494" t="s">
        <v>277</v>
      </c>
      <c r="E60" s="495">
        <v>2</v>
      </c>
      <c r="F60" s="436" t="s">
        <v>375</v>
      </c>
      <c r="G60" s="436" t="s">
        <v>233</v>
      </c>
      <c r="H60" s="494" t="s">
        <v>278</v>
      </c>
      <c r="I60" s="496" t="s">
        <v>308</v>
      </c>
    </row>
    <row r="61" spans="1:9" ht="35.25" customHeight="1" outlineLevel="2">
      <c r="A61" s="492">
        <v>178</v>
      </c>
      <c r="B61" s="493">
        <v>43089</v>
      </c>
      <c r="C61" s="494" t="s">
        <v>781</v>
      </c>
      <c r="D61" s="494" t="s">
        <v>277</v>
      </c>
      <c r="E61" s="495">
        <v>2</v>
      </c>
      <c r="F61" s="436" t="s">
        <v>375</v>
      </c>
      <c r="G61" s="436" t="s">
        <v>233</v>
      </c>
      <c r="H61" s="494" t="s">
        <v>278</v>
      </c>
      <c r="I61" s="496" t="s">
        <v>308</v>
      </c>
    </row>
    <row r="62" spans="1:10" ht="35.25" customHeight="1" outlineLevel="2">
      <c r="A62" s="492">
        <v>139</v>
      </c>
      <c r="B62" s="497">
        <v>42979</v>
      </c>
      <c r="C62" s="497" t="s">
        <v>621</v>
      </c>
      <c r="D62" s="498" t="s">
        <v>277</v>
      </c>
      <c r="E62" s="499">
        <v>7</v>
      </c>
      <c r="F62" s="500" t="s">
        <v>375</v>
      </c>
      <c r="G62" s="500" t="s">
        <v>233</v>
      </c>
      <c r="H62" s="498"/>
      <c r="I62" s="505"/>
      <c r="J62" s="54">
        <f>SUM(E25:E62)</f>
        <v>215.20999999999992</v>
      </c>
    </row>
    <row r="63" spans="1:10" ht="35.25" customHeight="1" outlineLevel="1">
      <c r="A63" s="492"/>
      <c r="B63" s="497"/>
      <c r="C63" s="497"/>
      <c r="D63" s="498"/>
      <c r="E63" s="597">
        <f>SUBTOTAL(9,E23:E62)</f>
        <v>229.1599999999999</v>
      </c>
      <c r="F63" s="594" t="s">
        <v>794</v>
      </c>
      <c r="G63" s="593" t="s">
        <v>233</v>
      </c>
      <c r="H63" s="498"/>
      <c r="I63" s="505"/>
      <c r="J63" s="54">
        <f>SUM(J24:J62)</f>
        <v>229.1599999999999</v>
      </c>
    </row>
    <row r="64" spans="1:9" ht="35.25" customHeight="1" outlineLevel="2">
      <c r="A64" s="492">
        <v>2</v>
      </c>
      <c r="B64" s="493">
        <v>42737</v>
      </c>
      <c r="C64" s="494" t="s">
        <v>309</v>
      </c>
      <c r="D64" s="494" t="s">
        <v>277</v>
      </c>
      <c r="E64" s="495">
        <v>25.14</v>
      </c>
      <c r="F64" s="436" t="s">
        <v>141</v>
      </c>
      <c r="G64" s="436" t="s">
        <v>142</v>
      </c>
      <c r="H64" s="494" t="s">
        <v>279</v>
      </c>
      <c r="I64" s="496" t="s">
        <v>308</v>
      </c>
    </row>
    <row r="65" spans="1:10" ht="35.25" customHeight="1" outlineLevel="2">
      <c r="A65" s="492">
        <v>4</v>
      </c>
      <c r="B65" s="497">
        <v>42737</v>
      </c>
      <c r="C65" s="498" t="s">
        <v>309</v>
      </c>
      <c r="D65" s="498" t="s">
        <v>277</v>
      </c>
      <c r="E65" s="499">
        <v>25.14</v>
      </c>
      <c r="F65" s="500" t="s">
        <v>141</v>
      </c>
      <c r="G65" s="500" t="s">
        <v>142</v>
      </c>
      <c r="H65" s="498" t="s">
        <v>279</v>
      </c>
      <c r="I65" s="505" t="s">
        <v>358</v>
      </c>
      <c r="J65" s="54">
        <f>SUM(E64+E65)</f>
        <v>50.28</v>
      </c>
    </row>
    <row r="66" spans="1:9" ht="35.25" customHeight="1" outlineLevel="2">
      <c r="A66" s="492">
        <v>29</v>
      </c>
      <c r="B66" s="493">
        <v>42828</v>
      </c>
      <c r="C66" s="494" t="s">
        <v>309</v>
      </c>
      <c r="D66" s="494" t="s">
        <v>277</v>
      </c>
      <c r="E66" s="495">
        <v>24.66</v>
      </c>
      <c r="F66" s="436" t="s">
        <v>141</v>
      </c>
      <c r="G66" s="436" t="s">
        <v>142</v>
      </c>
      <c r="H66" s="494" t="s">
        <v>278</v>
      </c>
      <c r="I66" s="496" t="s">
        <v>308</v>
      </c>
    </row>
    <row r="67" spans="1:9" ht="35.25" customHeight="1" outlineLevel="2">
      <c r="A67" s="492">
        <v>116</v>
      </c>
      <c r="B67" s="493">
        <v>42916</v>
      </c>
      <c r="C67" s="494" t="s">
        <v>639</v>
      </c>
      <c r="D67" s="494" t="s">
        <v>617</v>
      </c>
      <c r="E67" s="495">
        <v>562.7</v>
      </c>
      <c r="F67" s="436" t="s">
        <v>141</v>
      </c>
      <c r="G67" s="436" t="s">
        <v>142</v>
      </c>
      <c r="H67" s="494" t="s">
        <v>278</v>
      </c>
      <c r="I67" s="496" t="s">
        <v>308</v>
      </c>
    </row>
    <row r="68" spans="1:9" ht="35.25" customHeight="1" outlineLevel="2">
      <c r="A68" s="492">
        <v>117</v>
      </c>
      <c r="B68" s="493">
        <v>42916</v>
      </c>
      <c r="C68" s="494" t="s">
        <v>627</v>
      </c>
      <c r="D68" s="494" t="s">
        <v>626</v>
      </c>
      <c r="E68" s="495">
        <v>120</v>
      </c>
      <c r="F68" s="436" t="s">
        <v>141</v>
      </c>
      <c r="G68" s="436" t="s">
        <v>142</v>
      </c>
      <c r="H68" s="494" t="s">
        <v>278</v>
      </c>
      <c r="I68" s="496" t="s">
        <v>308</v>
      </c>
    </row>
    <row r="69" spans="1:9" ht="35.25" customHeight="1" outlineLevel="2">
      <c r="A69" s="492">
        <v>119</v>
      </c>
      <c r="B69" s="506">
        <v>42916</v>
      </c>
      <c r="C69" s="501" t="s">
        <v>740</v>
      </c>
      <c r="D69" s="501" t="s">
        <v>732</v>
      </c>
      <c r="E69" s="502">
        <v>24.11</v>
      </c>
      <c r="F69" s="569" t="s">
        <v>141</v>
      </c>
      <c r="G69" s="569" t="s">
        <v>142</v>
      </c>
      <c r="H69" s="501" t="s">
        <v>278</v>
      </c>
      <c r="I69" s="592" t="s">
        <v>308</v>
      </c>
    </row>
    <row r="70" spans="1:9" ht="35.25" customHeight="1" outlineLevel="2">
      <c r="A70" s="492">
        <v>120</v>
      </c>
      <c r="B70" s="506">
        <v>42916</v>
      </c>
      <c r="C70" s="501" t="s">
        <v>741</v>
      </c>
      <c r="D70" s="501" t="s">
        <v>732</v>
      </c>
      <c r="E70" s="502">
        <v>46.6</v>
      </c>
      <c r="F70" s="569" t="s">
        <v>141</v>
      </c>
      <c r="G70" s="569" t="s">
        <v>142</v>
      </c>
      <c r="H70" s="501" t="s">
        <v>278</v>
      </c>
      <c r="I70" s="592" t="s">
        <v>308</v>
      </c>
    </row>
    <row r="71" spans="1:9" ht="35.25" customHeight="1" outlineLevel="2">
      <c r="A71" s="492">
        <v>122</v>
      </c>
      <c r="B71" s="493">
        <v>42919</v>
      </c>
      <c r="C71" s="494" t="s">
        <v>309</v>
      </c>
      <c r="D71" s="494" t="s">
        <v>277</v>
      </c>
      <c r="E71" s="495">
        <v>24.93</v>
      </c>
      <c r="F71" s="436" t="s">
        <v>141</v>
      </c>
      <c r="G71" s="436" t="s">
        <v>142</v>
      </c>
      <c r="H71" s="494" t="s">
        <v>278</v>
      </c>
      <c r="I71" s="496" t="s">
        <v>308</v>
      </c>
    </row>
    <row r="72" spans="1:9" ht="35.25" customHeight="1" outlineLevel="2">
      <c r="A72" s="492">
        <v>124</v>
      </c>
      <c r="B72" s="497">
        <v>42919</v>
      </c>
      <c r="C72" s="498" t="s">
        <v>309</v>
      </c>
      <c r="D72" s="498" t="s">
        <v>277</v>
      </c>
      <c r="E72" s="499">
        <v>24.93</v>
      </c>
      <c r="F72" s="500" t="s">
        <v>141</v>
      </c>
      <c r="G72" s="500" t="s">
        <v>142</v>
      </c>
      <c r="H72" s="498" t="s">
        <v>278</v>
      </c>
      <c r="I72" s="505" t="s">
        <v>358</v>
      </c>
    </row>
    <row r="73" spans="1:9" ht="35.25" customHeight="1" outlineLevel="2">
      <c r="A73" s="492">
        <v>126</v>
      </c>
      <c r="B73" s="493">
        <v>42933</v>
      </c>
      <c r="C73" s="494" t="s">
        <v>640</v>
      </c>
      <c r="D73" s="494" t="s">
        <v>617</v>
      </c>
      <c r="E73" s="495">
        <v>563.72</v>
      </c>
      <c r="F73" s="436" t="s">
        <v>141</v>
      </c>
      <c r="G73" s="436" t="s">
        <v>142</v>
      </c>
      <c r="H73" s="494" t="s">
        <v>278</v>
      </c>
      <c r="I73" s="496" t="s">
        <v>308</v>
      </c>
    </row>
    <row r="74" spans="1:9" ht="35.25" customHeight="1" outlineLevel="2">
      <c r="A74" s="492">
        <v>131</v>
      </c>
      <c r="B74" s="493">
        <v>42968</v>
      </c>
      <c r="C74" s="494" t="s">
        <v>641</v>
      </c>
      <c r="D74" s="494" t="s">
        <v>617</v>
      </c>
      <c r="E74" s="495">
        <v>565.57</v>
      </c>
      <c r="F74" s="436" t="s">
        <v>141</v>
      </c>
      <c r="G74" s="436" t="s">
        <v>142</v>
      </c>
      <c r="H74" s="494" t="s">
        <v>278</v>
      </c>
      <c r="I74" s="496" t="s">
        <v>308</v>
      </c>
    </row>
    <row r="75" spans="1:9" ht="35.25" customHeight="1" outlineLevel="2">
      <c r="A75" s="492">
        <v>142</v>
      </c>
      <c r="B75" s="497">
        <v>42993</v>
      </c>
      <c r="C75" s="498" t="s">
        <v>309</v>
      </c>
      <c r="D75" s="498"/>
      <c r="E75" s="499">
        <v>21.09</v>
      </c>
      <c r="F75" s="500" t="s">
        <v>141</v>
      </c>
      <c r="G75" s="500" t="s">
        <v>142</v>
      </c>
      <c r="H75" s="498" t="s">
        <v>278</v>
      </c>
      <c r="I75" s="505" t="s">
        <v>358</v>
      </c>
    </row>
    <row r="76" spans="1:9" ht="35.25" customHeight="1" outlineLevel="2">
      <c r="A76" s="492">
        <v>144</v>
      </c>
      <c r="B76" s="493">
        <v>42996</v>
      </c>
      <c r="C76" s="494" t="s">
        <v>642</v>
      </c>
      <c r="D76" s="494" t="s">
        <v>617</v>
      </c>
      <c r="E76" s="495">
        <v>567.42</v>
      </c>
      <c r="F76" s="436" t="s">
        <v>141</v>
      </c>
      <c r="G76" s="436" t="s">
        <v>142</v>
      </c>
      <c r="H76" s="494" t="s">
        <v>278</v>
      </c>
      <c r="I76" s="496" t="s">
        <v>308</v>
      </c>
    </row>
    <row r="77" spans="1:9" ht="35.25" customHeight="1" outlineLevel="2">
      <c r="A77" s="492">
        <v>146</v>
      </c>
      <c r="B77" s="493">
        <v>43008</v>
      </c>
      <c r="C77" s="494" t="s">
        <v>309</v>
      </c>
      <c r="D77" s="494" t="s">
        <v>277</v>
      </c>
      <c r="E77" s="495">
        <v>25.2</v>
      </c>
      <c r="F77" s="436" t="s">
        <v>141</v>
      </c>
      <c r="G77" s="436" t="s">
        <v>142</v>
      </c>
      <c r="H77" s="494" t="s">
        <v>278</v>
      </c>
      <c r="I77" s="496" t="s">
        <v>308</v>
      </c>
    </row>
    <row r="78" spans="1:9" ht="35.25" customHeight="1" outlineLevel="2">
      <c r="A78" s="492">
        <v>148</v>
      </c>
      <c r="B78" s="506">
        <v>43008</v>
      </c>
      <c r="C78" s="501" t="s">
        <v>740</v>
      </c>
      <c r="D78" s="501" t="s">
        <v>732</v>
      </c>
      <c r="E78" s="502">
        <v>25.2</v>
      </c>
      <c r="F78" s="569" t="s">
        <v>141</v>
      </c>
      <c r="G78" s="569" t="s">
        <v>142</v>
      </c>
      <c r="H78" s="501" t="s">
        <v>278</v>
      </c>
      <c r="I78" s="592" t="s">
        <v>308</v>
      </c>
    </row>
    <row r="79" spans="1:9" ht="35.25" customHeight="1" outlineLevel="2">
      <c r="A79" s="492">
        <v>149</v>
      </c>
      <c r="B79" s="506">
        <v>43008</v>
      </c>
      <c r="C79" s="501" t="s">
        <v>741</v>
      </c>
      <c r="D79" s="501" t="s">
        <v>732</v>
      </c>
      <c r="E79" s="502">
        <v>50.4</v>
      </c>
      <c r="F79" s="569" t="s">
        <v>141</v>
      </c>
      <c r="G79" s="569" t="s">
        <v>142</v>
      </c>
      <c r="H79" s="501" t="s">
        <v>278</v>
      </c>
      <c r="I79" s="592" t="s">
        <v>308</v>
      </c>
    </row>
    <row r="80" spans="1:9" ht="35.25" customHeight="1" outlineLevel="2">
      <c r="A80" s="492">
        <v>154</v>
      </c>
      <c r="B80" s="493">
        <v>43024</v>
      </c>
      <c r="C80" s="494" t="s">
        <v>643</v>
      </c>
      <c r="D80" s="494" t="s">
        <v>617</v>
      </c>
      <c r="E80" s="495">
        <v>569.28</v>
      </c>
      <c r="F80" s="436" t="s">
        <v>141</v>
      </c>
      <c r="G80" s="436" t="s">
        <v>142</v>
      </c>
      <c r="H80" s="494" t="s">
        <v>278</v>
      </c>
      <c r="I80" s="496" t="s">
        <v>308</v>
      </c>
    </row>
    <row r="81" spans="1:10" ht="35.25" customHeight="1" outlineLevel="2">
      <c r="A81" s="492">
        <v>158</v>
      </c>
      <c r="B81" s="493">
        <v>43055</v>
      </c>
      <c r="C81" s="494" t="s">
        <v>714</v>
      </c>
      <c r="D81" s="494" t="s">
        <v>617</v>
      </c>
      <c r="E81" s="495">
        <v>571.14</v>
      </c>
      <c r="F81" s="436" t="s">
        <v>141</v>
      </c>
      <c r="G81" s="436" t="s">
        <v>142</v>
      </c>
      <c r="H81" s="494" t="s">
        <v>278</v>
      </c>
      <c r="I81" s="496" t="s">
        <v>308</v>
      </c>
      <c r="J81" s="54">
        <f>SUM(E66:E81)</f>
        <v>3786.9499999999994</v>
      </c>
    </row>
    <row r="82" spans="1:10" ht="35.25" customHeight="1" outlineLevel="1">
      <c r="A82" s="492"/>
      <c r="B82" s="493"/>
      <c r="C82" s="494"/>
      <c r="D82" s="494"/>
      <c r="E82" s="597">
        <f>SUBTOTAL(9,E64:E81)</f>
        <v>3837.229999999999</v>
      </c>
      <c r="F82" s="595" t="s">
        <v>795</v>
      </c>
      <c r="G82" s="593" t="s">
        <v>142</v>
      </c>
      <c r="H82" s="494"/>
      <c r="I82" s="496"/>
      <c r="J82" s="54">
        <f>SUM(J81,J65,)</f>
        <v>3837.2299999999996</v>
      </c>
    </row>
    <row r="83" spans="1:9" ht="35.25" customHeight="1" outlineLevel="2">
      <c r="A83" s="492">
        <v>23</v>
      </c>
      <c r="B83" s="493">
        <v>42814</v>
      </c>
      <c r="C83" s="494" t="s">
        <v>631</v>
      </c>
      <c r="D83" s="494" t="s">
        <v>268</v>
      </c>
      <c r="E83" s="495">
        <v>2000</v>
      </c>
      <c r="F83" s="436" t="s">
        <v>147</v>
      </c>
      <c r="G83" s="436" t="s">
        <v>188</v>
      </c>
      <c r="H83" s="494" t="s">
        <v>278</v>
      </c>
      <c r="I83" s="496" t="s">
        <v>308</v>
      </c>
    </row>
    <row r="84" spans="1:9" ht="35.25" customHeight="1" outlineLevel="2">
      <c r="A84" s="492">
        <v>26</v>
      </c>
      <c r="B84" s="493">
        <v>42817</v>
      </c>
      <c r="C84" s="494" t="s">
        <v>603</v>
      </c>
      <c r="D84" s="494" t="s">
        <v>604</v>
      </c>
      <c r="E84" s="495">
        <v>2000</v>
      </c>
      <c r="F84" s="436" t="s">
        <v>147</v>
      </c>
      <c r="G84" s="436" t="s">
        <v>188</v>
      </c>
      <c r="H84" s="494" t="s">
        <v>278</v>
      </c>
      <c r="I84" s="496" t="s">
        <v>308</v>
      </c>
    </row>
    <row r="85" spans="1:9" ht="35.25" customHeight="1" outlineLevel="1">
      <c r="A85" s="492"/>
      <c r="B85" s="493"/>
      <c r="C85" s="494"/>
      <c r="D85" s="494"/>
      <c r="E85" s="597">
        <f>SUBTOTAL(9,E83:E84)</f>
        <v>4000</v>
      </c>
      <c r="F85" s="595" t="s">
        <v>796</v>
      </c>
      <c r="G85" s="593" t="s">
        <v>188</v>
      </c>
      <c r="H85" s="494"/>
      <c r="I85" s="496"/>
    </row>
    <row r="86" spans="1:9" ht="35.25" customHeight="1" outlineLevel="2">
      <c r="A86" s="492">
        <v>18</v>
      </c>
      <c r="B86" s="493">
        <v>42786</v>
      </c>
      <c r="C86" s="494" t="s">
        <v>497</v>
      </c>
      <c r="D86" s="494" t="s">
        <v>594</v>
      </c>
      <c r="E86" s="495">
        <v>71.93</v>
      </c>
      <c r="F86" s="436" t="s">
        <v>207</v>
      </c>
      <c r="G86" s="436" t="s">
        <v>208</v>
      </c>
      <c r="H86" s="494" t="s">
        <v>278</v>
      </c>
      <c r="I86" s="496" t="s">
        <v>625</v>
      </c>
    </row>
    <row r="87" spans="1:9" ht="35.25" customHeight="1" outlineLevel="2">
      <c r="A87" s="492">
        <v>25</v>
      </c>
      <c r="B87" s="493">
        <v>42814</v>
      </c>
      <c r="C87" s="494" t="s">
        <v>501</v>
      </c>
      <c r="D87" s="494" t="s">
        <v>597</v>
      </c>
      <c r="E87" s="495">
        <v>409.07</v>
      </c>
      <c r="F87" s="436" t="s">
        <v>207</v>
      </c>
      <c r="G87" s="436" t="s">
        <v>208</v>
      </c>
      <c r="H87" s="494" t="s">
        <v>278</v>
      </c>
      <c r="I87" s="496" t="s">
        <v>632</v>
      </c>
    </row>
    <row r="88" spans="1:9" ht="35.25" customHeight="1" outlineLevel="2">
      <c r="A88" s="492">
        <v>30</v>
      </c>
      <c r="B88" s="493">
        <v>42828</v>
      </c>
      <c r="C88" s="494" t="s">
        <v>503</v>
      </c>
      <c r="D88" s="494" t="s">
        <v>598</v>
      </c>
      <c r="E88" s="495">
        <v>417.21</v>
      </c>
      <c r="F88" s="436" t="s">
        <v>207</v>
      </c>
      <c r="G88" s="436" t="s">
        <v>208</v>
      </c>
      <c r="H88" s="494" t="s">
        <v>278</v>
      </c>
      <c r="I88" s="496" t="s">
        <v>429</v>
      </c>
    </row>
    <row r="89" spans="1:9" ht="35.25" customHeight="1" outlineLevel="2">
      <c r="A89" s="492">
        <v>99</v>
      </c>
      <c r="B89" s="493">
        <v>42857</v>
      </c>
      <c r="C89" s="494" t="s">
        <v>507</v>
      </c>
      <c r="D89" s="494" t="s">
        <v>599</v>
      </c>
      <c r="E89" s="495">
        <v>200</v>
      </c>
      <c r="F89" s="436" t="s">
        <v>207</v>
      </c>
      <c r="G89" s="436" t="s">
        <v>208</v>
      </c>
      <c r="H89" s="494" t="s">
        <v>278</v>
      </c>
      <c r="I89" s="496" t="s">
        <v>429</v>
      </c>
    </row>
    <row r="90" spans="1:9" ht="35.25" customHeight="1" outlineLevel="2">
      <c r="A90" s="492">
        <v>105</v>
      </c>
      <c r="B90" s="493">
        <v>42863</v>
      </c>
      <c r="C90" s="494" t="s">
        <v>508</v>
      </c>
      <c r="D90" s="494" t="s">
        <v>594</v>
      </c>
      <c r="E90" s="495">
        <v>638.67</v>
      </c>
      <c r="F90" s="436" t="s">
        <v>207</v>
      </c>
      <c r="G90" s="436" t="s">
        <v>208</v>
      </c>
      <c r="H90" s="494" t="s">
        <v>278</v>
      </c>
      <c r="I90" s="496" t="s">
        <v>625</v>
      </c>
    </row>
    <row r="91" spans="1:9" ht="35.25" customHeight="1" outlineLevel="2">
      <c r="A91" s="492">
        <v>114</v>
      </c>
      <c r="B91" s="493">
        <v>42912</v>
      </c>
      <c r="C91" s="494" t="s">
        <v>511</v>
      </c>
      <c r="D91" s="494" t="s">
        <v>600</v>
      </c>
      <c r="E91" s="495">
        <v>185.25</v>
      </c>
      <c r="F91" s="436" t="s">
        <v>207</v>
      </c>
      <c r="G91" s="436" t="s">
        <v>208</v>
      </c>
      <c r="H91" s="494" t="s">
        <v>278</v>
      </c>
      <c r="I91" s="496" t="s">
        <v>517</v>
      </c>
    </row>
    <row r="92" spans="1:9" ht="35.25" customHeight="1" outlineLevel="2">
      <c r="A92" s="492">
        <v>115</v>
      </c>
      <c r="B92" s="493">
        <v>42912</v>
      </c>
      <c r="C92" s="494" t="s">
        <v>512</v>
      </c>
      <c r="D92" s="494" t="s">
        <v>600</v>
      </c>
      <c r="E92" s="495">
        <v>172.84</v>
      </c>
      <c r="F92" s="436" t="s">
        <v>207</v>
      </c>
      <c r="G92" s="436" t="s">
        <v>208</v>
      </c>
      <c r="H92" s="494" t="s">
        <v>278</v>
      </c>
      <c r="I92" s="496" t="s">
        <v>625</v>
      </c>
    </row>
    <row r="93" spans="1:9" ht="35.25" customHeight="1" outlineLevel="2">
      <c r="A93" s="492">
        <v>136</v>
      </c>
      <c r="B93" s="493">
        <v>42978</v>
      </c>
      <c r="C93" s="494" t="s">
        <v>624</v>
      </c>
      <c r="D93" s="494" t="s">
        <v>268</v>
      </c>
      <c r="E93" s="495">
        <v>4537.5</v>
      </c>
      <c r="F93" s="436" t="s">
        <v>207</v>
      </c>
      <c r="G93" s="436" t="s">
        <v>208</v>
      </c>
      <c r="H93" s="494" t="s">
        <v>278</v>
      </c>
      <c r="I93" s="496" t="s">
        <v>625</v>
      </c>
    </row>
    <row r="94" spans="1:9" ht="35.25" customHeight="1" outlineLevel="2">
      <c r="A94" s="492">
        <v>140</v>
      </c>
      <c r="B94" s="493">
        <v>42986</v>
      </c>
      <c r="C94" s="494" t="s">
        <v>612</v>
      </c>
      <c r="D94" s="494" t="s">
        <v>594</v>
      </c>
      <c r="E94" s="495">
        <v>275</v>
      </c>
      <c r="F94" s="436" t="s">
        <v>207</v>
      </c>
      <c r="G94" s="436" t="s">
        <v>208</v>
      </c>
      <c r="H94" s="494" t="s">
        <v>278</v>
      </c>
      <c r="I94" s="496" t="s">
        <v>625</v>
      </c>
    </row>
    <row r="95" spans="1:9" ht="35.25" customHeight="1" outlineLevel="2">
      <c r="A95" s="492">
        <v>145</v>
      </c>
      <c r="B95" s="493">
        <v>43004</v>
      </c>
      <c r="C95" s="494" t="s">
        <v>613</v>
      </c>
      <c r="D95" s="494" t="s">
        <v>618</v>
      </c>
      <c r="E95" s="495">
        <v>152.26</v>
      </c>
      <c r="F95" s="436" t="s">
        <v>207</v>
      </c>
      <c r="G95" s="436" t="s">
        <v>208</v>
      </c>
      <c r="H95" s="494" t="s">
        <v>278</v>
      </c>
      <c r="I95" s="496" t="s">
        <v>517</v>
      </c>
    </row>
    <row r="96" spans="1:9" ht="35.25" customHeight="1" outlineLevel="2">
      <c r="A96" s="492">
        <v>152</v>
      </c>
      <c r="B96" s="493">
        <v>43020</v>
      </c>
      <c r="C96" s="494" t="s">
        <v>616</v>
      </c>
      <c r="D96" s="494" t="s">
        <v>594</v>
      </c>
      <c r="E96" s="495">
        <v>671.11</v>
      </c>
      <c r="F96" s="436" t="s">
        <v>207</v>
      </c>
      <c r="G96" s="436" t="s">
        <v>208</v>
      </c>
      <c r="H96" s="436" t="s">
        <v>278</v>
      </c>
      <c r="I96" s="436" t="s">
        <v>625</v>
      </c>
    </row>
    <row r="97" spans="1:9" ht="35.25" customHeight="1" outlineLevel="1">
      <c r="A97" s="492"/>
      <c r="B97" s="493"/>
      <c r="C97" s="494"/>
      <c r="D97" s="494"/>
      <c r="E97" s="597">
        <f>SUBTOTAL(9,E86:E96)</f>
        <v>7730.84</v>
      </c>
      <c r="F97" s="595" t="s">
        <v>797</v>
      </c>
      <c r="G97" s="593" t="s">
        <v>208</v>
      </c>
      <c r="H97" s="436"/>
      <c r="I97" s="436"/>
    </row>
    <row r="98" spans="1:9" ht="35.25" customHeight="1" outlineLevel="2">
      <c r="A98" s="492">
        <v>11</v>
      </c>
      <c r="B98" s="493">
        <v>42779</v>
      </c>
      <c r="C98" s="494" t="s">
        <v>668</v>
      </c>
      <c r="D98" s="494" t="s">
        <v>460</v>
      </c>
      <c r="E98" s="495">
        <v>38730.47</v>
      </c>
      <c r="F98" s="436" t="s">
        <v>249</v>
      </c>
      <c r="G98" s="436" t="s">
        <v>250</v>
      </c>
      <c r="H98" s="436" t="s">
        <v>279</v>
      </c>
      <c r="I98" s="436" t="s">
        <v>667</v>
      </c>
    </row>
    <row r="99" spans="1:9" ht="35.25" customHeight="1" outlineLevel="2">
      <c r="A99" s="492">
        <v>12</v>
      </c>
      <c r="B99" s="493">
        <v>42779</v>
      </c>
      <c r="C99" s="494" t="s">
        <v>669</v>
      </c>
      <c r="D99" s="494" t="s">
        <v>460</v>
      </c>
      <c r="E99" s="495">
        <v>17472.66</v>
      </c>
      <c r="F99" s="436" t="s">
        <v>249</v>
      </c>
      <c r="G99" s="436" t="s">
        <v>250</v>
      </c>
      <c r="H99" s="436" t="s">
        <v>279</v>
      </c>
      <c r="I99" s="436" t="s">
        <v>448</v>
      </c>
    </row>
    <row r="100" spans="1:9" ht="35.25" customHeight="1" outlineLevel="2">
      <c r="A100" s="492">
        <v>169</v>
      </c>
      <c r="B100" s="493">
        <v>43089</v>
      </c>
      <c r="C100" s="494" t="s">
        <v>767</v>
      </c>
      <c r="D100" s="494" t="s">
        <v>460</v>
      </c>
      <c r="E100" s="495">
        <f>22541.13+697.15</f>
        <v>23238.280000000002</v>
      </c>
      <c r="F100" s="436" t="s">
        <v>249</v>
      </c>
      <c r="G100" s="436" t="s">
        <v>250</v>
      </c>
      <c r="H100" s="494" t="s">
        <v>279</v>
      </c>
      <c r="I100" s="496" t="s">
        <v>667</v>
      </c>
    </row>
    <row r="101" spans="1:10" ht="35.25" customHeight="1" outlineLevel="2">
      <c r="A101" s="492">
        <v>171</v>
      </c>
      <c r="B101" s="493">
        <v>43089</v>
      </c>
      <c r="C101" s="494" t="s">
        <v>768</v>
      </c>
      <c r="D101" s="494" t="s">
        <v>460</v>
      </c>
      <c r="E101" s="495">
        <f>15027.42+464.77</f>
        <v>15492.19</v>
      </c>
      <c r="F101" s="436" t="s">
        <v>249</v>
      </c>
      <c r="G101" s="436" t="s">
        <v>250</v>
      </c>
      <c r="H101" s="494" t="s">
        <v>279</v>
      </c>
      <c r="I101" s="496" t="s">
        <v>667</v>
      </c>
      <c r="J101" s="54">
        <f>SUM(E98:E101)</f>
        <v>94933.6</v>
      </c>
    </row>
    <row r="102" spans="1:9" ht="35.25" customHeight="1" outlineLevel="2">
      <c r="A102" s="492">
        <v>5</v>
      </c>
      <c r="B102" s="497">
        <v>42748</v>
      </c>
      <c r="C102" s="498" t="s">
        <v>518</v>
      </c>
      <c r="D102" s="498" t="s">
        <v>322</v>
      </c>
      <c r="E102" s="499">
        <v>2369.63</v>
      </c>
      <c r="F102" s="442" t="s">
        <v>249</v>
      </c>
      <c r="G102" s="443" t="s">
        <v>250</v>
      </c>
      <c r="H102" s="498" t="s">
        <v>278</v>
      </c>
      <c r="I102" s="505" t="s">
        <v>358</v>
      </c>
    </row>
    <row r="103" spans="1:9" ht="35.25" customHeight="1" outlineLevel="2">
      <c r="A103" s="492">
        <v>13</v>
      </c>
      <c r="B103" s="493">
        <v>42779</v>
      </c>
      <c r="C103" s="494" t="s">
        <v>670</v>
      </c>
      <c r="D103" s="494" t="s">
        <v>460</v>
      </c>
      <c r="E103" s="495">
        <v>46093.75</v>
      </c>
      <c r="F103" s="436" t="s">
        <v>249</v>
      </c>
      <c r="G103" s="436" t="s">
        <v>250</v>
      </c>
      <c r="H103" s="494" t="s">
        <v>278</v>
      </c>
      <c r="I103" s="496" t="s">
        <v>492</v>
      </c>
    </row>
    <row r="104" spans="1:9" ht="35.25" customHeight="1" outlineLevel="2">
      <c r="A104" s="492">
        <v>27</v>
      </c>
      <c r="B104" s="497">
        <v>42818</v>
      </c>
      <c r="C104" s="498" t="s">
        <v>605</v>
      </c>
      <c r="D104" s="498" t="s">
        <v>322</v>
      </c>
      <c r="E104" s="499">
        <v>2400.5</v>
      </c>
      <c r="F104" s="442" t="s">
        <v>249</v>
      </c>
      <c r="G104" s="443" t="s">
        <v>250</v>
      </c>
      <c r="H104" s="498" t="s">
        <v>278</v>
      </c>
      <c r="I104" s="505" t="s">
        <v>358</v>
      </c>
    </row>
    <row r="105" spans="1:9" ht="35.25" customHeight="1" outlineLevel="2">
      <c r="A105" s="492">
        <v>32</v>
      </c>
      <c r="B105" s="497">
        <v>42828</v>
      </c>
      <c r="C105" s="498" t="s">
        <v>309</v>
      </c>
      <c r="D105" s="498" t="s">
        <v>277</v>
      </c>
      <c r="E105" s="499">
        <v>24.66</v>
      </c>
      <c r="F105" s="442" t="s">
        <v>249</v>
      </c>
      <c r="G105" s="443" t="s">
        <v>250</v>
      </c>
      <c r="H105" s="498" t="s">
        <v>278</v>
      </c>
      <c r="I105" s="505" t="s">
        <v>358</v>
      </c>
    </row>
    <row r="106" spans="1:9" ht="35.25" customHeight="1" outlineLevel="2">
      <c r="A106" s="492">
        <v>33</v>
      </c>
      <c r="B106" s="497">
        <v>42828</v>
      </c>
      <c r="C106" s="498" t="s">
        <v>606</v>
      </c>
      <c r="D106" s="498" t="s">
        <v>322</v>
      </c>
      <c r="E106" s="499">
        <v>350.5</v>
      </c>
      <c r="F106" s="442" t="s">
        <v>249</v>
      </c>
      <c r="G106" s="443" t="s">
        <v>250</v>
      </c>
      <c r="H106" s="498" t="s">
        <v>278</v>
      </c>
      <c r="I106" s="505" t="s">
        <v>358</v>
      </c>
    </row>
    <row r="107" spans="1:9" ht="35.25" customHeight="1" outlineLevel="2">
      <c r="A107" s="492">
        <v>34</v>
      </c>
      <c r="B107" s="497">
        <v>42828</v>
      </c>
      <c r="C107" s="498" t="s">
        <v>522</v>
      </c>
      <c r="D107" s="498" t="s">
        <v>322</v>
      </c>
      <c r="E107" s="499">
        <v>158.83</v>
      </c>
      <c r="F107" s="442" t="s">
        <v>249</v>
      </c>
      <c r="G107" s="443" t="s">
        <v>250</v>
      </c>
      <c r="H107" s="498" t="s">
        <v>278</v>
      </c>
      <c r="I107" s="505" t="s">
        <v>358</v>
      </c>
    </row>
    <row r="108" spans="1:9" ht="35.25" customHeight="1" outlineLevel="2">
      <c r="A108" s="492">
        <v>35</v>
      </c>
      <c r="B108" s="497">
        <v>42828</v>
      </c>
      <c r="C108" s="498" t="s">
        <v>523</v>
      </c>
      <c r="D108" s="498" t="s">
        <v>322</v>
      </c>
      <c r="E108" s="499">
        <v>350.5</v>
      </c>
      <c r="F108" s="442" t="s">
        <v>249</v>
      </c>
      <c r="G108" s="443" t="s">
        <v>250</v>
      </c>
      <c r="H108" s="498" t="s">
        <v>278</v>
      </c>
      <c r="I108" s="505" t="s">
        <v>358</v>
      </c>
    </row>
    <row r="109" spans="1:9" ht="35.25" customHeight="1" outlineLevel="2">
      <c r="A109" s="492">
        <v>36</v>
      </c>
      <c r="B109" s="497">
        <v>42828</v>
      </c>
      <c r="C109" s="498" t="s">
        <v>524</v>
      </c>
      <c r="D109" s="498" t="s">
        <v>322</v>
      </c>
      <c r="E109" s="499">
        <v>350.5</v>
      </c>
      <c r="F109" s="442" t="s">
        <v>249</v>
      </c>
      <c r="G109" s="443" t="s">
        <v>250</v>
      </c>
      <c r="H109" s="500" t="s">
        <v>278</v>
      </c>
      <c r="I109" s="500" t="s">
        <v>358</v>
      </c>
    </row>
    <row r="110" spans="1:9" ht="35.25" customHeight="1" outlineLevel="2">
      <c r="A110" s="492">
        <v>37</v>
      </c>
      <c r="B110" s="497">
        <v>42828</v>
      </c>
      <c r="C110" s="498" t="s">
        <v>525</v>
      </c>
      <c r="D110" s="498" t="s">
        <v>322</v>
      </c>
      <c r="E110" s="499">
        <v>350.5</v>
      </c>
      <c r="F110" s="442" t="s">
        <v>249</v>
      </c>
      <c r="G110" s="443" t="s">
        <v>250</v>
      </c>
      <c r="H110" s="500" t="s">
        <v>278</v>
      </c>
      <c r="I110" s="500" t="s">
        <v>358</v>
      </c>
    </row>
    <row r="111" spans="1:9" ht="35.25" customHeight="1" outlineLevel="2">
      <c r="A111" s="492">
        <v>38</v>
      </c>
      <c r="B111" s="497">
        <v>42828</v>
      </c>
      <c r="C111" s="498" t="s">
        <v>526</v>
      </c>
      <c r="D111" s="498" t="s">
        <v>322</v>
      </c>
      <c r="E111" s="499">
        <v>350.5</v>
      </c>
      <c r="F111" s="442" t="s">
        <v>249</v>
      </c>
      <c r="G111" s="443" t="s">
        <v>250</v>
      </c>
      <c r="H111" s="500" t="s">
        <v>278</v>
      </c>
      <c r="I111" s="500" t="s">
        <v>358</v>
      </c>
    </row>
    <row r="112" spans="1:9" ht="35.25" customHeight="1" outlineLevel="2">
      <c r="A112" s="492">
        <v>39</v>
      </c>
      <c r="B112" s="497">
        <v>42828</v>
      </c>
      <c r="C112" s="498" t="s">
        <v>527</v>
      </c>
      <c r="D112" s="498" t="s">
        <v>322</v>
      </c>
      <c r="E112" s="499">
        <v>158.83</v>
      </c>
      <c r="F112" s="442" t="s">
        <v>249</v>
      </c>
      <c r="G112" s="443" t="s">
        <v>250</v>
      </c>
      <c r="H112" s="498" t="s">
        <v>278</v>
      </c>
      <c r="I112" s="505" t="s">
        <v>358</v>
      </c>
    </row>
    <row r="113" spans="1:9" ht="35.25" customHeight="1" outlineLevel="2">
      <c r="A113" s="492">
        <v>40</v>
      </c>
      <c r="B113" s="497">
        <v>42828</v>
      </c>
      <c r="C113" s="498" t="s">
        <v>528</v>
      </c>
      <c r="D113" s="498" t="s">
        <v>322</v>
      </c>
      <c r="E113" s="499">
        <v>150.5</v>
      </c>
      <c r="F113" s="442" t="s">
        <v>249</v>
      </c>
      <c r="G113" s="443" t="s">
        <v>250</v>
      </c>
      <c r="H113" s="498" t="s">
        <v>278</v>
      </c>
      <c r="I113" s="505" t="s">
        <v>358</v>
      </c>
    </row>
    <row r="114" spans="1:9" ht="35.25" customHeight="1" outlineLevel="2">
      <c r="A114" s="492">
        <v>41</v>
      </c>
      <c r="B114" s="497">
        <v>42828</v>
      </c>
      <c r="C114" s="498" t="s">
        <v>529</v>
      </c>
      <c r="D114" s="498" t="s">
        <v>322</v>
      </c>
      <c r="E114" s="499">
        <v>350.5</v>
      </c>
      <c r="F114" s="442" t="s">
        <v>249</v>
      </c>
      <c r="G114" s="443" t="s">
        <v>250</v>
      </c>
      <c r="H114" s="498" t="s">
        <v>278</v>
      </c>
      <c r="I114" s="505" t="s">
        <v>358</v>
      </c>
    </row>
    <row r="115" spans="1:9" ht="35.25" customHeight="1" outlineLevel="2">
      <c r="A115" s="492">
        <v>42</v>
      </c>
      <c r="B115" s="497">
        <v>42828</v>
      </c>
      <c r="C115" s="498" t="s">
        <v>530</v>
      </c>
      <c r="D115" s="498" t="s">
        <v>322</v>
      </c>
      <c r="E115" s="499">
        <v>350.5</v>
      </c>
      <c r="F115" s="442" t="s">
        <v>249</v>
      </c>
      <c r="G115" s="443" t="s">
        <v>250</v>
      </c>
      <c r="H115" s="498" t="s">
        <v>278</v>
      </c>
      <c r="I115" s="505" t="s">
        <v>358</v>
      </c>
    </row>
    <row r="116" spans="1:9" ht="35.25" customHeight="1" outlineLevel="2">
      <c r="A116" s="492">
        <v>43</v>
      </c>
      <c r="B116" s="497">
        <v>42828</v>
      </c>
      <c r="C116" s="498" t="s">
        <v>531</v>
      </c>
      <c r="D116" s="498" t="s">
        <v>322</v>
      </c>
      <c r="E116" s="499">
        <v>159.63</v>
      </c>
      <c r="F116" s="442" t="s">
        <v>249</v>
      </c>
      <c r="G116" s="443" t="s">
        <v>250</v>
      </c>
      <c r="H116" s="498" t="s">
        <v>278</v>
      </c>
      <c r="I116" s="505" t="s">
        <v>358</v>
      </c>
    </row>
    <row r="117" spans="1:9" ht="35.25" customHeight="1" outlineLevel="2">
      <c r="A117" s="492">
        <v>44</v>
      </c>
      <c r="B117" s="497">
        <v>42828</v>
      </c>
      <c r="C117" s="498" t="s">
        <v>532</v>
      </c>
      <c r="D117" s="498" t="s">
        <v>322</v>
      </c>
      <c r="E117" s="499">
        <v>350.5</v>
      </c>
      <c r="F117" s="442" t="s">
        <v>249</v>
      </c>
      <c r="G117" s="443" t="s">
        <v>250</v>
      </c>
      <c r="H117" s="500" t="s">
        <v>278</v>
      </c>
      <c r="I117" s="500" t="s">
        <v>358</v>
      </c>
    </row>
    <row r="118" spans="1:9" ht="35.25" customHeight="1" outlineLevel="2">
      <c r="A118" s="492">
        <v>45</v>
      </c>
      <c r="B118" s="497">
        <v>42828</v>
      </c>
      <c r="C118" s="498" t="s">
        <v>533</v>
      </c>
      <c r="D118" s="498" t="s">
        <v>322</v>
      </c>
      <c r="E118" s="499">
        <v>350.5</v>
      </c>
      <c r="F118" s="442" t="s">
        <v>249</v>
      </c>
      <c r="G118" s="443" t="s">
        <v>250</v>
      </c>
      <c r="H118" s="498" t="s">
        <v>278</v>
      </c>
      <c r="I118" s="505" t="s">
        <v>358</v>
      </c>
    </row>
    <row r="119" spans="1:9" ht="35.25" customHeight="1" outlineLevel="2">
      <c r="A119" s="492">
        <v>46</v>
      </c>
      <c r="B119" s="497">
        <v>42828</v>
      </c>
      <c r="C119" s="498" t="s">
        <v>534</v>
      </c>
      <c r="D119" s="498" t="s">
        <v>322</v>
      </c>
      <c r="E119" s="499">
        <v>350.5</v>
      </c>
      <c r="F119" s="442" t="s">
        <v>249</v>
      </c>
      <c r="G119" s="443" t="s">
        <v>250</v>
      </c>
      <c r="H119" s="498" t="s">
        <v>278</v>
      </c>
      <c r="I119" s="505" t="s">
        <v>358</v>
      </c>
    </row>
    <row r="120" spans="1:9" ht="35.25" customHeight="1" outlineLevel="2">
      <c r="A120" s="492">
        <v>47</v>
      </c>
      <c r="B120" s="497">
        <v>42828</v>
      </c>
      <c r="C120" s="498" t="s">
        <v>535</v>
      </c>
      <c r="D120" s="498" t="s">
        <v>322</v>
      </c>
      <c r="E120" s="499">
        <v>158.83</v>
      </c>
      <c r="F120" s="442" t="s">
        <v>249</v>
      </c>
      <c r="G120" s="443" t="s">
        <v>250</v>
      </c>
      <c r="H120" s="498" t="s">
        <v>278</v>
      </c>
      <c r="I120" s="505" t="s">
        <v>358</v>
      </c>
    </row>
    <row r="121" spans="1:9" ht="35.25" customHeight="1" outlineLevel="2">
      <c r="A121" s="492">
        <v>48</v>
      </c>
      <c r="B121" s="497">
        <v>42828</v>
      </c>
      <c r="C121" s="498" t="s">
        <v>536</v>
      </c>
      <c r="D121" s="498" t="s">
        <v>322</v>
      </c>
      <c r="E121" s="499">
        <v>158.83</v>
      </c>
      <c r="F121" s="442" t="s">
        <v>249</v>
      </c>
      <c r="G121" s="443" t="s">
        <v>250</v>
      </c>
      <c r="H121" s="500" t="s">
        <v>278</v>
      </c>
      <c r="I121" s="500" t="s">
        <v>358</v>
      </c>
    </row>
    <row r="122" spans="1:9" ht="35.25" customHeight="1" outlineLevel="2">
      <c r="A122" s="492">
        <v>49</v>
      </c>
      <c r="B122" s="497">
        <v>42828</v>
      </c>
      <c r="C122" s="498" t="s">
        <v>537</v>
      </c>
      <c r="D122" s="498" t="s">
        <v>322</v>
      </c>
      <c r="E122" s="499">
        <v>350.5</v>
      </c>
      <c r="F122" s="442" t="s">
        <v>249</v>
      </c>
      <c r="G122" s="443" t="s">
        <v>250</v>
      </c>
      <c r="H122" s="500" t="s">
        <v>278</v>
      </c>
      <c r="I122" s="500" t="s">
        <v>358</v>
      </c>
    </row>
    <row r="123" spans="1:9" ht="35.25" customHeight="1" outlineLevel="2">
      <c r="A123" s="492">
        <v>50</v>
      </c>
      <c r="B123" s="497">
        <v>42828</v>
      </c>
      <c r="C123" s="498" t="s">
        <v>538</v>
      </c>
      <c r="D123" s="498" t="s">
        <v>322</v>
      </c>
      <c r="E123" s="499">
        <v>350.5</v>
      </c>
      <c r="F123" s="442" t="s">
        <v>249</v>
      </c>
      <c r="G123" s="443" t="s">
        <v>250</v>
      </c>
      <c r="H123" s="500" t="s">
        <v>278</v>
      </c>
      <c r="I123" s="500" t="s">
        <v>358</v>
      </c>
    </row>
    <row r="124" spans="1:9" ht="35.25" customHeight="1" outlineLevel="2">
      <c r="A124" s="492">
        <v>51</v>
      </c>
      <c r="B124" s="497">
        <v>42828</v>
      </c>
      <c r="C124" s="498" t="s">
        <v>539</v>
      </c>
      <c r="D124" s="498" t="s">
        <v>322</v>
      </c>
      <c r="E124" s="499">
        <v>158.03</v>
      </c>
      <c r="F124" s="442" t="s">
        <v>249</v>
      </c>
      <c r="G124" s="443" t="s">
        <v>250</v>
      </c>
      <c r="H124" s="498" t="s">
        <v>278</v>
      </c>
      <c r="I124" s="505" t="s">
        <v>358</v>
      </c>
    </row>
    <row r="125" spans="1:9" ht="35.25" customHeight="1" outlineLevel="2">
      <c r="A125" s="492">
        <v>52</v>
      </c>
      <c r="B125" s="497">
        <v>42828</v>
      </c>
      <c r="C125" s="498" t="s">
        <v>540</v>
      </c>
      <c r="D125" s="498" t="s">
        <v>322</v>
      </c>
      <c r="E125" s="499">
        <v>350.5</v>
      </c>
      <c r="F125" s="442" t="s">
        <v>249</v>
      </c>
      <c r="G125" s="443" t="s">
        <v>250</v>
      </c>
      <c r="H125" s="500" t="s">
        <v>278</v>
      </c>
      <c r="I125" s="500" t="s">
        <v>358</v>
      </c>
    </row>
    <row r="126" spans="1:9" ht="35.25" customHeight="1" outlineLevel="2">
      <c r="A126" s="492">
        <v>53</v>
      </c>
      <c r="B126" s="497">
        <v>42828</v>
      </c>
      <c r="C126" s="498" t="s">
        <v>541</v>
      </c>
      <c r="D126" s="498" t="s">
        <v>322</v>
      </c>
      <c r="E126" s="499">
        <v>150.5</v>
      </c>
      <c r="F126" s="442" t="s">
        <v>249</v>
      </c>
      <c r="G126" s="443" t="s">
        <v>250</v>
      </c>
      <c r="H126" s="500" t="s">
        <v>278</v>
      </c>
      <c r="I126" s="500" t="s">
        <v>358</v>
      </c>
    </row>
    <row r="127" spans="1:9" ht="35.25" customHeight="1" outlineLevel="2">
      <c r="A127" s="492">
        <v>54</v>
      </c>
      <c r="B127" s="497">
        <v>42828</v>
      </c>
      <c r="C127" s="498" t="s">
        <v>542</v>
      </c>
      <c r="D127" s="498" t="s">
        <v>322</v>
      </c>
      <c r="E127" s="499">
        <v>350.5</v>
      </c>
      <c r="F127" s="503" t="s">
        <v>249</v>
      </c>
      <c r="G127" s="504" t="s">
        <v>250</v>
      </c>
      <c r="H127" s="500" t="s">
        <v>278</v>
      </c>
      <c r="I127" s="500" t="s">
        <v>358</v>
      </c>
    </row>
    <row r="128" spans="1:9" ht="35.25" customHeight="1" outlineLevel="2">
      <c r="A128" s="492">
        <v>55</v>
      </c>
      <c r="B128" s="497">
        <v>42828</v>
      </c>
      <c r="C128" s="498" t="s">
        <v>543</v>
      </c>
      <c r="D128" s="498" t="s">
        <v>322</v>
      </c>
      <c r="E128" s="499">
        <v>350.5</v>
      </c>
      <c r="F128" s="442" t="s">
        <v>249</v>
      </c>
      <c r="G128" s="443" t="s">
        <v>250</v>
      </c>
      <c r="H128" s="500" t="s">
        <v>278</v>
      </c>
      <c r="I128" s="500" t="s">
        <v>358</v>
      </c>
    </row>
    <row r="129" spans="1:9" ht="35.25" customHeight="1" outlineLevel="2">
      <c r="A129" s="492">
        <v>56</v>
      </c>
      <c r="B129" s="497">
        <v>42828</v>
      </c>
      <c r="C129" s="498" t="s">
        <v>544</v>
      </c>
      <c r="D129" s="500" t="s">
        <v>322</v>
      </c>
      <c r="E129" s="590">
        <v>744.99</v>
      </c>
      <c r="F129" s="442" t="s">
        <v>249</v>
      </c>
      <c r="G129" s="443" t="s">
        <v>250</v>
      </c>
      <c r="H129" s="500" t="s">
        <v>278</v>
      </c>
      <c r="I129" s="500" t="s">
        <v>358</v>
      </c>
    </row>
    <row r="130" spans="1:9" ht="35.25" customHeight="1" outlineLevel="2">
      <c r="A130" s="492">
        <v>57</v>
      </c>
      <c r="B130" s="497">
        <v>42828</v>
      </c>
      <c r="C130" s="498" t="s">
        <v>545</v>
      </c>
      <c r="D130" s="498" t="s">
        <v>322</v>
      </c>
      <c r="E130" s="499">
        <v>855</v>
      </c>
      <c r="F130" s="442" t="s">
        <v>249</v>
      </c>
      <c r="G130" s="443" t="s">
        <v>250</v>
      </c>
      <c r="H130" s="500" t="s">
        <v>278</v>
      </c>
      <c r="I130" s="500" t="s">
        <v>358</v>
      </c>
    </row>
    <row r="131" spans="1:9" ht="35.25" customHeight="1" outlineLevel="2">
      <c r="A131" s="492">
        <v>58</v>
      </c>
      <c r="B131" s="497">
        <v>42828</v>
      </c>
      <c r="C131" s="498" t="s">
        <v>546</v>
      </c>
      <c r="D131" s="498" t="s">
        <v>638</v>
      </c>
      <c r="E131" s="499">
        <v>350.5</v>
      </c>
      <c r="F131" s="442" t="s">
        <v>249</v>
      </c>
      <c r="G131" s="443" t="s">
        <v>250</v>
      </c>
      <c r="H131" s="500" t="s">
        <v>278</v>
      </c>
      <c r="I131" s="500" t="s">
        <v>358</v>
      </c>
    </row>
    <row r="132" spans="1:9" ht="35.25" customHeight="1" outlineLevel="2">
      <c r="A132" s="492">
        <v>59</v>
      </c>
      <c r="B132" s="497">
        <v>42831</v>
      </c>
      <c r="C132" s="498" t="s">
        <v>547</v>
      </c>
      <c r="D132" s="498" t="s">
        <v>322</v>
      </c>
      <c r="E132" s="499">
        <v>489.59</v>
      </c>
      <c r="F132" s="442" t="s">
        <v>249</v>
      </c>
      <c r="G132" s="443" t="s">
        <v>250</v>
      </c>
      <c r="H132" s="500" t="s">
        <v>278</v>
      </c>
      <c r="I132" s="500" t="s">
        <v>358</v>
      </c>
    </row>
    <row r="133" spans="1:9" ht="35.25" customHeight="1" outlineLevel="2">
      <c r="A133" s="492">
        <v>60</v>
      </c>
      <c r="B133" s="497">
        <v>42831</v>
      </c>
      <c r="C133" s="498" t="s">
        <v>548</v>
      </c>
      <c r="D133" s="498" t="s">
        <v>637</v>
      </c>
      <c r="E133" s="499">
        <v>578.5</v>
      </c>
      <c r="F133" s="442" t="s">
        <v>249</v>
      </c>
      <c r="G133" s="443" t="s">
        <v>250</v>
      </c>
      <c r="H133" s="500" t="s">
        <v>278</v>
      </c>
      <c r="I133" s="500" t="s">
        <v>358</v>
      </c>
    </row>
    <row r="134" spans="1:9" ht="35.25" customHeight="1" outlineLevel="2">
      <c r="A134" s="492">
        <v>61</v>
      </c>
      <c r="B134" s="497">
        <v>42831</v>
      </c>
      <c r="C134" s="498" t="s">
        <v>549</v>
      </c>
      <c r="D134" s="498" t="s">
        <v>322</v>
      </c>
      <c r="E134" s="499">
        <v>892.79</v>
      </c>
      <c r="F134" s="442" t="s">
        <v>249</v>
      </c>
      <c r="G134" s="443" t="s">
        <v>250</v>
      </c>
      <c r="H134" s="500" t="s">
        <v>278</v>
      </c>
      <c r="I134" s="500" t="s">
        <v>358</v>
      </c>
    </row>
    <row r="135" spans="1:9" ht="35.25" customHeight="1" outlineLevel="2">
      <c r="A135" s="492">
        <v>62</v>
      </c>
      <c r="B135" s="497">
        <v>42831</v>
      </c>
      <c r="C135" s="498" t="s">
        <v>550</v>
      </c>
      <c r="D135" s="498" t="s">
        <v>322</v>
      </c>
      <c r="E135" s="499">
        <v>1028.38</v>
      </c>
      <c r="F135" s="442" t="s">
        <v>249</v>
      </c>
      <c r="G135" s="443" t="s">
        <v>250</v>
      </c>
      <c r="H135" s="500" t="s">
        <v>278</v>
      </c>
      <c r="I135" s="500" t="s">
        <v>358</v>
      </c>
    </row>
    <row r="136" spans="1:9" ht="35.25" customHeight="1" outlineLevel="2">
      <c r="A136" s="492">
        <v>63</v>
      </c>
      <c r="B136" s="497">
        <v>42831</v>
      </c>
      <c r="C136" s="498" t="s">
        <v>551</v>
      </c>
      <c r="D136" s="498" t="s">
        <v>322</v>
      </c>
      <c r="E136" s="499">
        <v>355.95</v>
      </c>
      <c r="F136" s="442" t="s">
        <v>249</v>
      </c>
      <c r="G136" s="443" t="s">
        <v>250</v>
      </c>
      <c r="H136" s="500" t="s">
        <v>278</v>
      </c>
      <c r="I136" s="500" t="s">
        <v>358</v>
      </c>
    </row>
    <row r="137" spans="1:9" ht="35.25" customHeight="1" outlineLevel="2">
      <c r="A137" s="492">
        <v>64</v>
      </c>
      <c r="B137" s="497">
        <v>42831</v>
      </c>
      <c r="C137" s="498" t="s">
        <v>552</v>
      </c>
      <c r="D137" s="498" t="s">
        <v>322</v>
      </c>
      <c r="E137" s="499">
        <v>714.5</v>
      </c>
      <c r="F137" s="442" t="s">
        <v>249</v>
      </c>
      <c r="G137" s="443" t="s">
        <v>250</v>
      </c>
      <c r="H137" s="500" t="s">
        <v>278</v>
      </c>
      <c r="I137" s="500" t="s">
        <v>358</v>
      </c>
    </row>
    <row r="138" spans="1:9" ht="35.25" customHeight="1" outlineLevel="2">
      <c r="A138" s="492">
        <v>65</v>
      </c>
      <c r="B138" s="497">
        <v>42831</v>
      </c>
      <c r="C138" s="498" t="s">
        <v>553</v>
      </c>
      <c r="D138" s="498" t="s">
        <v>322</v>
      </c>
      <c r="E138" s="499">
        <v>861.45</v>
      </c>
      <c r="F138" s="442" t="s">
        <v>249</v>
      </c>
      <c r="G138" s="443" t="s">
        <v>250</v>
      </c>
      <c r="H138" s="500" t="s">
        <v>278</v>
      </c>
      <c r="I138" s="500" t="s">
        <v>358</v>
      </c>
    </row>
    <row r="139" spans="1:9" ht="35.25" customHeight="1" outlineLevel="2">
      <c r="A139" s="492">
        <v>66</v>
      </c>
      <c r="B139" s="497">
        <v>42831</v>
      </c>
      <c r="C139" s="498" t="s">
        <v>554</v>
      </c>
      <c r="D139" s="498" t="s">
        <v>322</v>
      </c>
      <c r="E139" s="499">
        <v>659.49</v>
      </c>
      <c r="F139" s="442" t="s">
        <v>249</v>
      </c>
      <c r="G139" s="443" t="s">
        <v>250</v>
      </c>
      <c r="H139" s="500" t="s">
        <v>278</v>
      </c>
      <c r="I139" s="500" t="s">
        <v>358</v>
      </c>
    </row>
    <row r="140" spans="1:9" ht="35.25" customHeight="1" outlineLevel="2">
      <c r="A140" s="492">
        <v>67</v>
      </c>
      <c r="B140" s="497">
        <v>42831</v>
      </c>
      <c r="C140" s="498" t="s">
        <v>555</v>
      </c>
      <c r="D140" s="498" t="s">
        <v>322</v>
      </c>
      <c r="E140" s="499">
        <v>5013.33</v>
      </c>
      <c r="F140" s="503" t="s">
        <v>249</v>
      </c>
      <c r="G140" s="504" t="s">
        <v>250</v>
      </c>
      <c r="H140" s="500" t="s">
        <v>278</v>
      </c>
      <c r="I140" s="500" t="s">
        <v>358</v>
      </c>
    </row>
    <row r="141" spans="1:9" ht="35.25" customHeight="1" outlineLevel="2">
      <c r="A141" s="492">
        <v>68</v>
      </c>
      <c r="B141" s="497">
        <v>42832</v>
      </c>
      <c r="C141" s="498" t="s">
        <v>556</v>
      </c>
      <c r="D141" s="498" t="s">
        <v>600</v>
      </c>
      <c r="E141" s="499">
        <v>2500.5</v>
      </c>
      <c r="F141" s="442" t="s">
        <v>249</v>
      </c>
      <c r="G141" s="443" t="s">
        <v>250</v>
      </c>
      <c r="H141" s="500" t="s">
        <v>278</v>
      </c>
      <c r="I141" s="500" t="s">
        <v>358</v>
      </c>
    </row>
    <row r="142" spans="1:9" ht="35.25" customHeight="1" outlineLevel="2">
      <c r="A142" s="492">
        <v>69</v>
      </c>
      <c r="B142" s="497">
        <v>42835</v>
      </c>
      <c r="C142" s="498" t="s">
        <v>557</v>
      </c>
      <c r="D142" s="498" t="s">
        <v>322</v>
      </c>
      <c r="E142" s="499">
        <v>1021.24</v>
      </c>
      <c r="F142" s="442" t="s">
        <v>249</v>
      </c>
      <c r="G142" s="443" t="s">
        <v>250</v>
      </c>
      <c r="H142" s="500" t="s">
        <v>278</v>
      </c>
      <c r="I142" s="500" t="s">
        <v>358</v>
      </c>
    </row>
    <row r="143" spans="1:9" ht="35.25" customHeight="1" outlineLevel="2">
      <c r="A143" s="492">
        <v>70</v>
      </c>
      <c r="B143" s="497">
        <v>42835</v>
      </c>
      <c r="C143" s="498" t="s">
        <v>558</v>
      </c>
      <c r="D143" s="498" t="s">
        <v>636</v>
      </c>
      <c r="E143" s="499">
        <v>277.1</v>
      </c>
      <c r="F143" s="442" t="s">
        <v>249</v>
      </c>
      <c r="G143" s="443" t="s">
        <v>250</v>
      </c>
      <c r="H143" s="500" t="s">
        <v>278</v>
      </c>
      <c r="I143" s="500" t="s">
        <v>358</v>
      </c>
    </row>
    <row r="144" spans="1:9" ht="35.25" customHeight="1" outlineLevel="2">
      <c r="A144" s="492">
        <v>71</v>
      </c>
      <c r="B144" s="497">
        <v>42837</v>
      </c>
      <c r="C144" s="498" t="s">
        <v>559</v>
      </c>
      <c r="D144" s="498" t="s">
        <v>604</v>
      </c>
      <c r="E144" s="499">
        <v>3000.5</v>
      </c>
      <c r="F144" s="442" t="s">
        <v>249</v>
      </c>
      <c r="G144" s="443" t="s">
        <v>250</v>
      </c>
      <c r="H144" s="498" t="s">
        <v>278</v>
      </c>
      <c r="I144" s="505" t="s">
        <v>358</v>
      </c>
    </row>
    <row r="145" spans="1:9" ht="35.25" customHeight="1" outlineLevel="2">
      <c r="A145" s="492">
        <v>72</v>
      </c>
      <c r="B145" s="497">
        <v>42837</v>
      </c>
      <c r="C145" s="498" t="s">
        <v>560</v>
      </c>
      <c r="D145" s="498" t="s">
        <v>322</v>
      </c>
      <c r="E145" s="499">
        <v>667.68</v>
      </c>
      <c r="F145" s="503" t="s">
        <v>249</v>
      </c>
      <c r="G145" s="504" t="s">
        <v>250</v>
      </c>
      <c r="H145" s="500" t="s">
        <v>278</v>
      </c>
      <c r="I145" s="500" t="s">
        <v>358</v>
      </c>
    </row>
    <row r="146" spans="1:9" ht="35.25" customHeight="1" outlineLevel="2">
      <c r="A146" s="492">
        <v>73</v>
      </c>
      <c r="B146" s="497">
        <v>42837</v>
      </c>
      <c r="C146" s="498" t="s">
        <v>561</v>
      </c>
      <c r="D146" s="498" t="s">
        <v>322</v>
      </c>
      <c r="E146" s="590">
        <v>730.22</v>
      </c>
      <c r="F146" s="442" t="s">
        <v>249</v>
      </c>
      <c r="G146" s="443" t="s">
        <v>250</v>
      </c>
      <c r="H146" s="498" t="s">
        <v>278</v>
      </c>
      <c r="I146" s="505" t="s">
        <v>358</v>
      </c>
    </row>
    <row r="147" spans="1:9" ht="35.25" customHeight="1" outlineLevel="2">
      <c r="A147" s="492">
        <v>74</v>
      </c>
      <c r="B147" s="497">
        <v>42838</v>
      </c>
      <c r="C147" s="498" t="s">
        <v>562</v>
      </c>
      <c r="D147" s="498" t="s">
        <v>322</v>
      </c>
      <c r="E147" s="590">
        <v>556.12</v>
      </c>
      <c r="F147" s="442" t="s">
        <v>249</v>
      </c>
      <c r="G147" s="443" t="s">
        <v>250</v>
      </c>
      <c r="H147" s="498" t="s">
        <v>278</v>
      </c>
      <c r="I147" s="505" t="s">
        <v>358</v>
      </c>
    </row>
    <row r="148" spans="1:9" ht="35.25" customHeight="1" outlineLevel="2">
      <c r="A148" s="492">
        <v>75</v>
      </c>
      <c r="B148" s="497">
        <v>42838</v>
      </c>
      <c r="C148" s="498" t="s">
        <v>563</v>
      </c>
      <c r="D148" s="498" t="s">
        <v>322</v>
      </c>
      <c r="E148" s="499">
        <v>789.5</v>
      </c>
      <c r="F148" s="442" t="s">
        <v>249</v>
      </c>
      <c r="G148" s="443" t="s">
        <v>250</v>
      </c>
      <c r="H148" s="500" t="s">
        <v>278</v>
      </c>
      <c r="I148" s="500" t="s">
        <v>358</v>
      </c>
    </row>
    <row r="149" spans="1:9" ht="35.25" customHeight="1" outlineLevel="2">
      <c r="A149" s="492">
        <v>76</v>
      </c>
      <c r="B149" s="497">
        <v>42838</v>
      </c>
      <c r="C149" s="498" t="s">
        <v>564</v>
      </c>
      <c r="D149" s="498" t="s">
        <v>322</v>
      </c>
      <c r="E149" s="499">
        <v>787.5</v>
      </c>
      <c r="F149" s="442" t="s">
        <v>249</v>
      </c>
      <c r="G149" s="443" t="s">
        <v>250</v>
      </c>
      <c r="H149" s="500" t="s">
        <v>278</v>
      </c>
      <c r="I149" s="500" t="s">
        <v>358</v>
      </c>
    </row>
    <row r="150" spans="1:9" ht="35.25" customHeight="1" outlineLevel="2">
      <c r="A150" s="492">
        <v>77</v>
      </c>
      <c r="B150" s="497">
        <v>42838</v>
      </c>
      <c r="C150" s="498" t="s">
        <v>565</v>
      </c>
      <c r="D150" s="498" t="s">
        <v>322</v>
      </c>
      <c r="E150" s="499">
        <v>765.1</v>
      </c>
      <c r="F150" s="442" t="s">
        <v>249</v>
      </c>
      <c r="G150" s="443" t="s">
        <v>250</v>
      </c>
      <c r="H150" s="500" t="s">
        <v>278</v>
      </c>
      <c r="I150" s="500" t="s">
        <v>358</v>
      </c>
    </row>
    <row r="151" spans="1:9" ht="35.25" customHeight="1" outlineLevel="2">
      <c r="A151" s="492">
        <v>78</v>
      </c>
      <c r="B151" s="497">
        <v>42838</v>
      </c>
      <c r="C151" s="498" t="s">
        <v>566</v>
      </c>
      <c r="D151" s="498" t="s">
        <v>322</v>
      </c>
      <c r="E151" s="499">
        <v>793.93</v>
      </c>
      <c r="F151" s="503" t="s">
        <v>249</v>
      </c>
      <c r="G151" s="504" t="s">
        <v>250</v>
      </c>
      <c r="H151" s="500" t="s">
        <v>278</v>
      </c>
      <c r="I151" s="500" t="s">
        <v>358</v>
      </c>
    </row>
    <row r="152" spans="1:9" ht="35.25" customHeight="1" outlineLevel="2">
      <c r="A152" s="492">
        <v>79</v>
      </c>
      <c r="B152" s="497">
        <v>42838</v>
      </c>
      <c r="C152" s="498" t="s">
        <v>567</v>
      </c>
      <c r="D152" s="498" t="s">
        <v>322</v>
      </c>
      <c r="E152" s="499">
        <v>621.78</v>
      </c>
      <c r="F152" s="442" t="s">
        <v>249</v>
      </c>
      <c r="G152" s="443" t="s">
        <v>250</v>
      </c>
      <c r="H152" s="500" t="s">
        <v>278</v>
      </c>
      <c r="I152" s="500" t="s">
        <v>358</v>
      </c>
    </row>
    <row r="153" spans="1:9" ht="35.25" customHeight="1" outlineLevel="2">
      <c r="A153" s="492">
        <v>80</v>
      </c>
      <c r="B153" s="497">
        <v>42838</v>
      </c>
      <c r="C153" s="498" t="s">
        <v>568</v>
      </c>
      <c r="D153" s="498" t="s">
        <v>322</v>
      </c>
      <c r="E153" s="499">
        <v>700.83</v>
      </c>
      <c r="F153" s="503" t="s">
        <v>249</v>
      </c>
      <c r="G153" s="504" t="s">
        <v>250</v>
      </c>
      <c r="H153" s="500" t="s">
        <v>278</v>
      </c>
      <c r="I153" s="500" t="s">
        <v>358</v>
      </c>
    </row>
    <row r="154" spans="1:9" ht="35.25" customHeight="1" outlineLevel="2">
      <c r="A154" s="492">
        <v>81</v>
      </c>
      <c r="B154" s="497">
        <v>42838</v>
      </c>
      <c r="C154" s="498" t="s">
        <v>569</v>
      </c>
      <c r="D154" s="498" t="s">
        <v>322</v>
      </c>
      <c r="E154" s="499">
        <v>1674.33</v>
      </c>
      <c r="F154" s="442" t="s">
        <v>249</v>
      </c>
      <c r="G154" s="443" t="s">
        <v>250</v>
      </c>
      <c r="H154" s="500" t="s">
        <v>278</v>
      </c>
      <c r="I154" s="500" t="s">
        <v>358</v>
      </c>
    </row>
    <row r="155" spans="1:9" ht="35.25" customHeight="1" outlineLevel="2">
      <c r="A155" s="492">
        <v>82</v>
      </c>
      <c r="B155" s="497">
        <v>42838</v>
      </c>
      <c r="C155" s="498" t="s">
        <v>570</v>
      </c>
      <c r="D155" s="498" t="s">
        <v>322</v>
      </c>
      <c r="E155" s="499">
        <v>895.37</v>
      </c>
      <c r="F155" s="442" t="s">
        <v>249</v>
      </c>
      <c r="G155" s="443" t="s">
        <v>250</v>
      </c>
      <c r="H155" s="498" t="s">
        <v>278</v>
      </c>
      <c r="I155" s="505" t="s">
        <v>358</v>
      </c>
    </row>
    <row r="156" spans="1:9" ht="35.25" customHeight="1" outlineLevel="2">
      <c r="A156" s="492">
        <v>83</v>
      </c>
      <c r="B156" s="497">
        <v>42838</v>
      </c>
      <c r="C156" s="498" t="s">
        <v>571</v>
      </c>
      <c r="D156" s="498" t="s">
        <v>322</v>
      </c>
      <c r="E156" s="499">
        <v>705.83</v>
      </c>
      <c r="F156" s="442" t="s">
        <v>249</v>
      </c>
      <c r="G156" s="443" t="s">
        <v>250</v>
      </c>
      <c r="H156" s="500" t="s">
        <v>278</v>
      </c>
      <c r="I156" s="500" t="s">
        <v>358</v>
      </c>
    </row>
    <row r="157" spans="1:9" ht="35.25" customHeight="1" outlineLevel="2">
      <c r="A157" s="492">
        <v>84</v>
      </c>
      <c r="B157" s="497">
        <v>42839</v>
      </c>
      <c r="C157" s="498" t="s">
        <v>572</v>
      </c>
      <c r="D157" s="498" t="s">
        <v>322</v>
      </c>
      <c r="E157" s="499">
        <v>785.19</v>
      </c>
      <c r="F157" s="442" t="s">
        <v>249</v>
      </c>
      <c r="G157" s="443" t="s">
        <v>250</v>
      </c>
      <c r="H157" s="500" t="s">
        <v>278</v>
      </c>
      <c r="I157" s="500" t="s">
        <v>358</v>
      </c>
    </row>
    <row r="158" spans="1:9" ht="35.25" customHeight="1" outlineLevel="2">
      <c r="A158" s="492">
        <v>87</v>
      </c>
      <c r="B158" s="493">
        <v>42843</v>
      </c>
      <c r="C158" s="494" t="s">
        <v>722</v>
      </c>
      <c r="D158" s="494" t="s">
        <v>268</v>
      </c>
      <c r="E158" s="495">
        <v>100505.54</v>
      </c>
      <c r="F158" s="436" t="s">
        <v>249</v>
      </c>
      <c r="G158" s="436" t="s">
        <v>250</v>
      </c>
      <c r="H158" s="436" t="s">
        <v>278</v>
      </c>
      <c r="I158" s="436" t="s">
        <v>697</v>
      </c>
    </row>
    <row r="159" spans="1:9" ht="35.25" customHeight="1" outlineLevel="2">
      <c r="A159" s="492">
        <v>88</v>
      </c>
      <c r="B159" s="497">
        <v>42843</v>
      </c>
      <c r="C159" s="498" t="s">
        <v>573</v>
      </c>
      <c r="D159" s="498" t="s">
        <v>322</v>
      </c>
      <c r="E159" s="499">
        <v>743.36</v>
      </c>
      <c r="F159" s="442" t="s">
        <v>249</v>
      </c>
      <c r="G159" s="443" t="s">
        <v>250</v>
      </c>
      <c r="H159" s="500" t="s">
        <v>278</v>
      </c>
      <c r="I159" s="500" t="s">
        <v>358</v>
      </c>
    </row>
    <row r="160" spans="1:9" ht="35.25" customHeight="1" outlineLevel="2">
      <c r="A160" s="492">
        <v>89</v>
      </c>
      <c r="B160" s="497">
        <v>42843</v>
      </c>
      <c r="C160" s="498" t="s">
        <v>574</v>
      </c>
      <c r="D160" s="498" t="s">
        <v>322</v>
      </c>
      <c r="E160" s="499">
        <v>1000.5</v>
      </c>
      <c r="F160" s="442" t="s">
        <v>249</v>
      </c>
      <c r="G160" s="443" t="s">
        <v>250</v>
      </c>
      <c r="H160" s="500" t="s">
        <v>278</v>
      </c>
      <c r="I160" s="500" t="s">
        <v>358</v>
      </c>
    </row>
    <row r="161" spans="1:9" ht="35.25" customHeight="1" outlineLevel="2">
      <c r="A161" s="492">
        <v>90</v>
      </c>
      <c r="B161" s="497">
        <v>42843</v>
      </c>
      <c r="C161" s="498" t="s">
        <v>575</v>
      </c>
      <c r="D161" s="498" t="s">
        <v>322</v>
      </c>
      <c r="E161" s="499">
        <v>534.5</v>
      </c>
      <c r="F161" s="442" t="s">
        <v>249</v>
      </c>
      <c r="G161" s="443" t="s">
        <v>250</v>
      </c>
      <c r="H161" s="500" t="s">
        <v>278</v>
      </c>
      <c r="I161" s="500" t="s">
        <v>358</v>
      </c>
    </row>
    <row r="162" spans="1:9" ht="35.25" customHeight="1" outlineLevel="2">
      <c r="A162" s="492">
        <v>91</v>
      </c>
      <c r="B162" s="497">
        <v>42843</v>
      </c>
      <c r="C162" s="498" t="s">
        <v>576</v>
      </c>
      <c r="D162" s="498" t="s">
        <v>322</v>
      </c>
      <c r="E162" s="499">
        <v>791.23</v>
      </c>
      <c r="F162" s="442" t="s">
        <v>249</v>
      </c>
      <c r="G162" s="443" t="s">
        <v>250</v>
      </c>
      <c r="H162" s="500" t="s">
        <v>278</v>
      </c>
      <c r="I162" s="500" t="s">
        <v>358</v>
      </c>
    </row>
    <row r="163" spans="1:9" ht="35.25" customHeight="1" outlineLevel="2">
      <c r="A163" s="492">
        <v>92</v>
      </c>
      <c r="B163" s="497">
        <v>42843</v>
      </c>
      <c r="C163" s="498" t="s">
        <v>577</v>
      </c>
      <c r="D163" s="498" t="s">
        <v>322</v>
      </c>
      <c r="E163" s="499">
        <v>706.59</v>
      </c>
      <c r="F163" s="503" t="s">
        <v>249</v>
      </c>
      <c r="G163" s="504" t="s">
        <v>250</v>
      </c>
      <c r="H163" s="498" t="s">
        <v>278</v>
      </c>
      <c r="I163" s="505" t="s">
        <v>358</v>
      </c>
    </row>
    <row r="164" spans="1:9" ht="35.25" customHeight="1" outlineLevel="2">
      <c r="A164" s="492">
        <v>93</v>
      </c>
      <c r="B164" s="497">
        <v>42843</v>
      </c>
      <c r="C164" s="498" t="s">
        <v>578</v>
      </c>
      <c r="D164" s="498" t="s">
        <v>322</v>
      </c>
      <c r="E164" s="499">
        <v>658.99</v>
      </c>
      <c r="F164" s="442" t="s">
        <v>249</v>
      </c>
      <c r="G164" s="443" t="s">
        <v>250</v>
      </c>
      <c r="H164" s="500" t="s">
        <v>278</v>
      </c>
      <c r="I164" s="500" t="s">
        <v>358</v>
      </c>
    </row>
    <row r="165" spans="1:9" ht="35.25" customHeight="1" outlineLevel="2">
      <c r="A165" s="492">
        <v>94</v>
      </c>
      <c r="B165" s="497">
        <v>42843</v>
      </c>
      <c r="C165" s="498" t="s">
        <v>579</v>
      </c>
      <c r="D165" s="498" t="s">
        <v>322</v>
      </c>
      <c r="E165" s="499">
        <v>690.38</v>
      </c>
      <c r="F165" s="442" t="s">
        <v>249</v>
      </c>
      <c r="G165" s="443" t="s">
        <v>250</v>
      </c>
      <c r="H165" s="500" t="s">
        <v>278</v>
      </c>
      <c r="I165" s="500" t="s">
        <v>358</v>
      </c>
    </row>
    <row r="166" spans="1:9" ht="35.25" customHeight="1" outlineLevel="2">
      <c r="A166" s="492">
        <v>95</v>
      </c>
      <c r="B166" s="497">
        <v>42844</v>
      </c>
      <c r="C166" s="498" t="s">
        <v>580</v>
      </c>
      <c r="D166" s="498" t="s">
        <v>322</v>
      </c>
      <c r="E166" s="499">
        <v>835.38</v>
      </c>
      <c r="F166" s="442" t="s">
        <v>249</v>
      </c>
      <c r="G166" s="443" t="s">
        <v>250</v>
      </c>
      <c r="H166" s="500" t="s">
        <v>278</v>
      </c>
      <c r="I166" s="500" t="s">
        <v>358</v>
      </c>
    </row>
    <row r="167" spans="1:9" ht="35.25" customHeight="1" outlineLevel="2">
      <c r="A167" s="492">
        <v>96</v>
      </c>
      <c r="B167" s="497">
        <v>42844</v>
      </c>
      <c r="C167" s="498" t="s">
        <v>581</v>
      </c>
      <c r="D167" s="498" t="s">
        <v>322</v>
      </c>
      <c r="E167" s="499">
        <v>674.31</v>
      </c>
      <c r="F167" s="442" t="s">
        <v>249</v>
      </c>
      <c r="G167" s="443" t="s">
        <v>250</v>
      </c>
      <c r="H167" s="500" t="s">
        <v>278</v>
      </c>
      <c r="I167" s="500" t="s">
        <v>358</v>
      </c>
    </row>
    <row r="168" spans="1:9" ht="35.25" customHeight="1" outlineLevel="2">
      <c r="A168" s="492">
        <v>101</v>
      </c>
      <c r="B168" s="497">
        <v>42857</v>
      </c>
      <c r="C168" s="498" t="s">
        <v>583</v>
      </c>
      <c r="D168" s="498" t="s">
        <v>322</v>
      </c>
      <c r="E168" s="499">
        <v>766.97</v>
      </c>
      <c r="F168" s="442" t="s">
        <v>249</v>
      </c>
      <c r="G168" s="443" t="s">
        <v>250</v>
      </c>
      <c r="H168" s="500" t="s">
        <v>278</v>
      </c>
      <c r="I168" s="500" t="s">
        <v>358</v>
      </c>
    </row>
    <row r="169" spans="1:9" ht="35.25" customHeight="1" outlineLevel="2">
      <c r="A169" s="492">
        <v>102</v>
      </c>
      <c r="B169" s="497">
        <v>42857</v>
      </c>
      <c r="C169" s="498" t="s">
        <v>584</v>
      </c>
      <c r="D169" s="498" t="s">
        <v>322</v>
      </c>
      <c r="E169" s="499">
        <v>53.06</v>
      </c>
      <c r="F169" s="442" t="s">
        <v>249</v>
      </c>
      <c r="G169" s="443" t="s">
        <v>250</v>
      </c>
      <c r="H169" s="500" t="s">
        <v>278</v>
      </c>
      <c r="I169" s="500" t="s">
        <v>358</v>
      </c>
    </row>
    <row r="170" spans="1:9" ht="35.25" customHeight="1" outlineLevel="2">
      <c r="A170" s="492">
        <v>103</v>
      </c>
      <c r="B170" s="497">
        <v>42857</v>
      </c>
      <c r="C170" s="498" t="s">
        <v>585</v>
      </c>
      <c r="D170" s="498" t="s">
        <v>322</v>
      </c>
      <c r="E170" s="499">
        <v>158.83</v>
      </c>
      <c r="F170" s="442" t="s">
        <v>249</v>
      </c>
      <c r="G170" s="443" t="s">
        <v>250</v>
      </c>
      <c r="H170" s="500" t="s">
        <v>278</v>
      </c>
      <c r="I170" s="500" t="s">
        <v>358</v>
      </c>
    </row>
    <row r="171" spans="1:9" ht="35.25" customHeight="1" outlineLevel="2">
      <c r="A171" s="492">
        <v>104</v>
      </c>
      <c r="B171" s="497">
        <v>42857</v>
      </c>
      <c r="C171" s="498" t="s">
        <v>586</v>
      </c>
      <c r="D171" s="498" t="s">
        <v>322</v>
      </c>
      <c r="E171" s="499">
        <v>189</v>
      </c>
      <c r="F171" s="442" t="s">
        <v>249</v>
      </c>
      <c r="G171" s="443" t="s">
        <v>250</v>
      </c>
      <c r="H171" s="500" t="s">
        <v>278</v>
      </c>
      <c r="I171" s="500" t="s">
        <v>358</v>
      </c>
    </row>
    <row r="172" spans="1:9" ht="35.25" customHeight="1" outlineLevel="2">
      <c r="A172" s="492">
        <v>106</v>
      </c>
      <c r="B172" s="497">
        <v>42864</v>
      </c>
      <c r="C172" s="498" t="s">
        <v>587</v>
      </c>
      <c r="D172" s="498" t="s">
        <v>322</v>
      </c>
      <c r="E172" s="499">
        <v>51.5</v>
      </c>
      <c r="F172" s="503" t="s">
        <v>249</v>
      </c>
      <c r="G172" s="504" t="s">
        <v>250</v>
      </c>
      <c r="H172" s="498" t="s">
        <v>278</v>
      </c>
      <c r="I172" s="505" t="s">
        <v>358</v>
      </c>
    </row>
    <row r="173" spans="1:9" ht="35.25" customHeight="1" outlineLevel="2">
      <c r="A173" s="492">
        <v>132</v>
      </c>
      <c r="B173" s="497">
        <v>42971</v>
      </c>
      <c r="C173" s="497" t="s">
        <v>620</v>
      </c>
      <c r="D173" s="498" t="s">
        <v>268</v>
      </c>
      <c r="E173" s="499">
        <f>26000+9234.96</f>
        <v>35234.96</v>
      </c>
      <c r="F173" s="503" t="s">
        <v>249</v>
      </c>
      <c r="G173" s="504" t="s">
        <v>250</v>
      </c>
      <c r="H173" s="498" t="s">
        <v>278</v>
      </c>
      <c r="I173" s="505" t="s">
        <v>358</v>
      </c>
    </row>
    <row r="174" spans="1:9" ht="35.25" customHeight="1" outlineLevel="2">
      <c r="A174" s="492">
        <v>134</v>
      </c>
      <c r="B174" s="497">
        <v>42978</v>
      </c>
      <c r="C174" s="497" t="s">
        <v>622</v>
      </c>
      <c r="D174" s="498" t="s">
        <v>268</v>
      </c>
      <c r="E174" s="591">
        <v>8081</v>
      </c>
      <c r="F174" s="503" t="s">
        <v>249</v>
      </c>
      <c r="G174" s="504" t="s">
        <v>250</v>
      </c>
      <c r="H174" s="498" t="s">
        <v>278</v>
      </c>
      <c r="I174" s="505" t="s">
        <v>358</v>
      </c>
    </row>
    <row r="175" spans="1:9" ht="35.25" customHeight="1" outlineLevel="2">
      <c r="A175" s="492">
        <v>135</v>
      </c>
      <c r="B175" s="497">
        <v>42978</v>
      </c>
      <c r="C175" s="497" t="s">
        <v>623</v>
      </c>
      <c r="D175" s="498" t="s">
        <v>268</v>
      </c>
      <c r="E175" s="589">
        <v>1300</v>
      </c>
      <c r="F175" s="442" t="s">
        <v>249</v>
      </c>
      <c r="G175" s="443" t="s">
        <v>250</v>
      </c>
      <c r="H175" s="500" t="s">
        <v>278</v>
      </c>
      <c r="I175" s="500" t="s">
        <v>358</v>
      </c>
    </row>
    <row r="176" spans="1:9" ht="35.25" customHeight="1" outlineLevel="2">
      <c r="A176" s="492">
        <v>143</v>
      </c>
      <c r="B176" s="497">
        <v>42993</v>
      </c>
      <c r="C176" s="497" t="s">
        <v>609</v>
      </c>
      <c r="D176" s="498" t="s">
        <v>268</v>
      </c>
      <c r="E176" s="499">
        <v>1042.28</v>
      </c>
      <c r="F176" s="442" t="s">
        <v>249</v>
      </c>
      <c r="G176" s="443" t="s">
        <v>250</v>
      </c>
      <c r="H176" s="500" t="s">
        <v>278</v>
      </c>
      <c r="I176" s="500" t="s">
        <v>358</v>
      </c>
    </row>
    <row r="177" spans="1:9" ht="35.25" customHeight="1" outlineLevel="2">
      <c r="A177" s="492">
        <v>161</v>
      </c>
      <c r="B177" s="493">
        <v>43056</v>
      </c>
      <c r="C177" s="494" t="s">
        <v>775</v>
      </c>
      <c r="D177" s="494" t="s">
        <v>723</v>
      </c>
      <c r="E177" s="495">
        <f>78665.48+2432.95</f>
        <v>81098.43</v>
      </c>
      <c r="F177" s="494" t="s">
        <v>249</v>
      </c>
      <c r="G177" s="494" t="s">
        <v>250</v>
      </c>
      <c r="H177" s="494" t="s">
        <v>278</v>
      </c>
      <c r="I177" s="496" t="s">
        <v>713</v>
      </c>
    </row>
    <row r="178" spans="1:9" ht="35.25" customHeight="1" outlineLevel="2">
      <c r="A178" s="492">
        <v>167</v>
      </c>
      <c r="B178" s="493">
        <v>43089</v>
      </c>
      <c r="C178" s="494" t="s">
        <v>776</v>
      </c>
      <c r="D178" s="494" t="s">
        <v>723</v>
      </c>
      <c r="E178" s="495">
        <f>15733.1+486.59</f>
        <v>16219.69</v>
      </c>
      <c r="F178" s="436" t="s">
        <v>249</v>
      </c>
      <c r="G178" s="436" t="s">
        <v>250</v>
      </c>
      <c r="H178" s="436" t="s">
        <v>278</v>
      </c>
      <c r="I178" s="436" t="s">
        <v>713</v>
      </c>
    </row>
    <row r="179" spans="1:9" ht="35.25" customHeight="1" outlineLevel="2">
      <c r="A179" s="492">
        <v>173</v>
      </c>
      <c r="B179" s="493">
        <v>43089</v>
      </c>
      <c r="C179" s="494" t="s">
        <v>769</v>
      </c>
      <c r="D179" s="494" t="s">
        <v>460</v>
      </c>
      <c r="E179" s="495">
        <f>107760.94+3332.8125</f>
        <v>111093.7525</v>
      </c>
      <c r="F179" s="494" t="s">
        <v>249</v>
      </c>
      <c r="G179" s="494" t="s">
        <v>250</v>
      </c>
      <c r="H179" s="494" t="s">
        <v>278</v>
      </c>
      <c r="I179" s="436" t="s">
        <v>712</v>
      </c>
    </row>
    <row r="180" spans="1:9" ht="35.25" customHeight="1" outlineLevel="2">
      <c r="A180" s="492">
        <v>175</v>
      </c>
      <c r="B180" s="493">
        <v>43089</v>
      </c>
      <c r="C180" s="494" t="s">
        <v>771</v>
      </c>
      <c r="D180" s="494" t="s">
        <v>427</v>
      </c>
      <c r="E180" s="495">
        <v>67031.25</v>
      </c>
      <c r="F180" s="436" t="s">
        <v>249</v>
      </c>
      <c r="G180" s="436" t="s">
        <v>250</v>
      </c>
      <c r="H180" s="436" t="s">
        <v>278</v>
      </c>
      <c r="I180" s="436" t="s">
        <v>712</v>
      </c>
    </row>
    <row r="181" spans="1:10" ht="35.25" customHeight="1" outlineLevel="2">
      <c r="A181" s="492">
        <v>177</v>
      </c>
      <c r="B181" s="493">
        <v>43089</v>
      </c>
      <c r="C181" s="494" t="s">
        <v>770</v>
      </c>
      <c r="D181" s="494" t="s">
        <v>427</v>
      </c>
      <c r="E181" s="495">
        <v>19658.63</v>
      </c>
      <c r="F181" s="494" t="s">
        <v>249</v>
      </c>
      <c r="G181" s="494" t="s">
        <v>250</v>
      </c>
      <c r="H181" s="494" t="s">
        <v>278</v>
      </c>
      <c r="I181" s="436" t="s">
        <v>713</v>
      </c>
      <c r="J181" s="54">
        <f>SUM(E102:E181)</f>
        <v>536337.3424999999</v>
      </c>
    </row>
    <row r="182" spans="1:10" ht="35.25" customHeight="1" outlineLevel="1">
      <c r="A182" s="492"/>
      <c r="B182" s="493"/>
      <c r="C182" s="494"/>
      <c r="D182" s="494"/>
      <c r="E182" s="597">
        <f>SUBTOTAL(9,E98:E181)</f>
        <v>631270.9425</v>
      </c>
      <c r="F182" s="593" t="s">
        <v>798</v>
      </c>
      <c r="G182" s="593" t="s">
        <v>250</v>
      </c>
      <c r="H182" s="494"/>
      <c r="I182" s="436"/>
      <c r="J182" s="54">
        <f>SUM(J181,J101)</f>
        <v>631270.9424999999</v>
      </c>
    </row>
    <row r="183" spans="1:10" ht="35.25" customHeight="1" outlineLevel="2">
      <c r="A183" s="492">
        <v>16</v>
      </c>
      <c r="B183" s="493">
        <v>42782</v>
      </c>
      <c r="C183" s="494" t="s">
        <v>629</v>
      </c>
      <c r="D183" s="494" t="s">
        <v>280</v>
      </c>
      <c r="E183" s="495">
        <v>1110</v>
      </c>
      <c r="F183" s="436" t="s">
        <v>79</v>
      </c>
      <c r="G183" s="436" t="s">
        <v>0</v>
      </c>
      <c r="H183" s="436" t="s">
        <v>279</v>
      </c>
      <c r="I183" s="436" t="s">
        <v>308</v>
      </c>
      <c r="J183" s="54">
        <f>E183</f>
        <v>1110</v>
      </c>
    </row>
    <row r="184" spans="1:9" ht="35.25" customHeight="1" outlineLevel="2">
      <c r="A184" s="492">
        <v>17</v>
      </c>
      <c r="B184" s="493">
        <v>42782</v>
      </c>
      <c r="C184" s="494" t="s">
        <v>628</v>
      </c>
      <c r="D184" s="494" t="s">
        <v>280</v>
      </c>
      <c r="E184" s="495">
        <v>710</v>
      </c>
      <c r="F184" s="494" t="s">
        <v>79</v>
      </c>
      <c r="G184" s="494" t="s">
        <v>0</v>
      </c>
      <c r="H184" s="436" t="s">
        <v>278</v>
      </c>
      <c r="I184" s="436" t="s">
        <v>308</v>
      </c>
    </row>
    <row r="185" spans="1:9" ht="35.25" customHeight="1" outlineLevel="2">
      <c r="A185" s="492">
        <v>85</v>
      </c>
      <c r="B185" s="493">
        <v>42843</v>
      </c>
      <c r="C185" s="494" t="s">
        <v>633</v>
      </c>
      <c r="D185" s="494" t="s">
        <v>280</v>
      </c>
      <c r="E185" s="495">
        <v>500</v>
      </c>
      <c r="F185" s="436" t="s">
        <v>79</v>
      </c>
      <c r="G185" s="436" t="s">
        <v>0</v>
      </c>
      <c r="H185" s="436" t="s">
        <v>278</v>
      </c>
      <c r="I185" s="436" t="s">
        <v>358</v>
      </c>
    </row>
    <row r="186" spans="1:9" ht="35.25" customHeight="1" outlineLevel="2">
      <c r="A186" s="492">
        <v>107</v>
      </c>
      <c r="B186" s="497">
        <v>42871</v>
      </c>
      <c r="C186" s="498" t="s">
        <v>635</v>
      </c>
      <c r="D186" s="498" t="s">
        <v>280</v>
      </c>
      <c r="E186" s="499">
        <v>55.32</v>
      </c>
      <c r="F186" s="500" t="s">
        <v>79</v>
      </c>
      <c r="G186" s="500" t="s">
        <v>0</v>
      </c>
      <c r="H186" s="498" t="s">
        <v>278</v>
      </c>
      <c r="I186" s="505" t="s">
        <v>358</v>
      </c>
    </row>
    <row r="187" spans="1:9" ht="35.25" customHeight="1" outlineLevel="2">
      <c r="A187" s="492">
        <v>108</v>
      </c>
      <c r="B187" s="497">
        <v>42871</v>
      </c>
      <c r="C187" s="498" t="s">
        <v>634</v>
      </c>
      <c r="D187" s="498" t="s">
        <v>280</v>
      </c>
      <c r="E187" s="499">
        <v>685.6</v>
      </c>
      <c r="F187" s="500" t="s">
        <v>79</v>
      </c>
      <c r="G187" s="500" t="s">
        <v>0</v>
      </c>
      <c r="H187" s="500" t="s">
        <v>278</v>
      </c>
      <c r="I187" s="500" t="s">
        <v>358</v>
      </c>
    </row>
    <row r="188" spans="1:9" ht="35.25" customHeight="1" outlineLevel="2">
      <c r="A188" s="492">
        <v>113</v>
      </c>
      <c r="B188" s="493">
        <v>42902</v>
      </c>
      <c r="C188" s="494" t="s">
        <v>633</v>
      </c>
      <c r="D188" s="494" t="s">
        <v>280</v>
      </c>
      <c r="E188" s="495">
        <v>500</v>
      </c>
      <c r="F188" s="494" t="s">
        <v>79</v>
      </c>
      <c r="G188" s="494" t="s">
        <v>0</v>
      </c>
      <c r="H188" s="436" t="s">
        <v>278</v>
      </c>
      <c r="I188" s="436" t="s">
        <v>358</v>
      </c>
    </row>
    <row r="189" spans="1:9" ht="35.25" customHeight="1" outlineLevel="2">
      <c r="A189" s="492">
        <v>153</v>
      </c>
      <c r="B189" s="493">
        <v>43024</v>
      </c>
      <c r="C189" s="494" t="s">
        <v>619</v>
      </c>
      <c r="D189" s="494" t="s">
        <v>280</v>
      </c>
      <c r="E189" s="495">
        <v>24</v>
      </c>
      <c r="F189" s="436" t="s">
        <v>79</v>
      </c>
      <c r="G189" s="436" t="s">
        <v>0</v>
      </c>
      <c r="H189" s="436" t="s">
        <v>278</v>
      </c>
      <c r="I189" s="436" t="s">
        <v>358</v>
      </c>
    </row>
    <row r="190" spans="1:10" ht="35.25" customHeight="1" outlineLevel="2">
      <c r="A190" s="492">
        <v>159</v>
      </c>
      <c r="B190" s="493">
        <v>43055</v>
      </c>
      <c r="C190" s="494" t="s">
        <v>721</v>
      </c>
      <c r="D190" s="494" t="s">
        <v>280</v>
      </c>
      <c r="E190" s="495">
        <v>500</v>
      </c>
      <c r="F190" s="494" t="s">
        <v>79</v>
      </c>
      <c r="G190" s="494" t="s">
        <v>0</v>
      </c>
      <c r="H190" s="436" t="s">
        <v>278</v>
      </c>
      <c r="I190" s="436" t="s">
        <v>308</v>
      </c>
      <c r="J190" s="54">
        <f>SUM(E184:E190)</f>
        <v>2974.92</v>
      </c>
    </row>
    <row r="191" spans="1:10" ht="35.25" customHeight="1" outlineLevel="1">
      <c r="A191" s="492"/>
      <c r="B191" s="493"/>
      <c r="C191" s="494"/>
      <c r="D191" s="494"/>
      <c r="E191" s="597">
        <f>SUBTOTAL(9,E183:E190)</f>
        <v>4084.92</v>
      </c>
      <c r="F191" s="593" t="s">
        <v>799</v>
      </c>
      <c r="G191" s="593" t="s">
        <v>0</v>
      </c>
      <c r="H191" s="436"/>
      <c r="I191" s="436"/>
      <c r="J191" s="54">
        <f>SUM(J183:J190)</f>
        <v>4084.92</v>
      </c>
    </row>
    <row r="192" spans="1:9" ht="35.25" customHeight="1" outlineLevel="2">
      <c r="A192" s="492">
        <v>15</v>
      </c>
      <c r="B192" s="493">
        <v>42782</v>
      </c>
      <c r="C192" s="494" t="s">
        <v>630</v>
      </c>
      <c r="D192" s="494" t="s">
        <v>295</v>
      </c>
      <c r="E192" s="495">
        <v>61.39</v>
      </c>
      <c r="F192" s="436" t="s">
        <v>173</v>
      </c>
      <c r="G192" s="436" t="s">
        <v>171</v>
      </c>
      <c r="H192" s="436" t="s">
        <v>279</v>
      </c>
      <c r="I192" s="436" t="s">
        <v>308</v>
      </c>
    </row>
    <row r="193" spans="1:9" ht="35.25" customHeight="1" outlineLevel="1">
      <c r="A193" s="582"/>
      <c r="B193" s="583"/>
      <c r="C193" s="582"/>
      <c r="D193" s="582"/>
      <c r="E193" s="597">
        <f>SUBTOTAL(9,E192:E192)</f>
        <v>61.39</v>
      </c>
      <c r="F193" s="596" t="s">
        <v>800</v>
      </c>
      <c r="G193" s="593" t="s">
        <v>171</v>
      </c>
      <c r="H193" s="582"/>
      <c r="I193" s="582"/>
    </row>
    <row r="194" spans="1:9" ht="35.25" customHeight="1">
      <c r="A194" s="582"/>
      <c r="B194" s="583"/>
      <c r="C194" s="582"/>
      <c r="D194" s="582"/>
      <c r="E194" s="584">
        <f>SUBTOTAL(9,E3:E192)</f>
        <v>685493.7924999997</v>
      </c>
      <c r="F194" s="596" t="s">
        <v>787</v>
      </c>
      <c r="G194" s="582"/>
      <c r="H194" s="582"/>
      <c r="I194" s="582"/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landscape" scale="52" r:id="rId1"/>
  <headerFoot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2"/>
  <sheetViews>
    <sheetView zoomScalePageLayoutView="0" workbookViewId="0" topLeftCell="A55">
      <selection activeCell="D64" sqref="D64"/>
    </sheetView>
  </sheetViews>
  <sheetFormatPr defaultColWidth="9.140625" defaultRowHeight="12.75"/>
  <cols>
    <col min="1" max="1" width="13.57421875" style="0" customWidth="1"/>
    <col min="2" max="2" width="68.8515625" style="0" customWidth="1"/>
    <col min="3" max="3" width="17.8515625" style="0" bestFit="1" customWidth="1"/>
    <col min="4" max="5" width="14.57421875" style="0" bestFit="1" customWidth="1"/>
    <col min="6" max="6" width="13.7109375" style="0" customWidth="1"/>
    <col min="7" max="7" width="38.8515625" style="0" bestFit="1" customWidth="1"/>
  </cols>
  <sheetData>
    <row r="1" spans="1:7" ht="12.75">
      <c r="A1" s="611" t="s">
        <v>297</v>
      </c>
      <c r="B1" s="611"/>
      <c r="C1" s="611"/>
      <c r="D1" s="611"/>
      <c r="E1" s="611"/>
      <c r="F1" s="611"/>
      <c r="G1" s="611"/>
    </row>
    <row r="3" spans="1:7" ht="54">
      <c r="A3" s="55" t="s">
        <v>274</v>
      </c>
      <c r="B3" s="55" t="s">
        <v>214</v>
      </c>
      <c r="C3" s="55" t="s">
        <v>210</v>
      </c>
      <c r="D3" s="55" t="s">
        <v>211</v>
      </c>
      <c r="E3" s="55" t="s">
        <v>298</v>
      </c>
      <c r="F3" s="55" t="s">
        <v>212</v>
      </c>
      <c r="G3" s="55" t="s">
        <v>213</v>
      </c>
    </row>
    <row r="6" spans="1:7" ht="13.5" thickBot="1">
      <c r="A6" s="188" t="s">
        <v>318</v>
      </c>
      <c r="B6" s="140" t="s">
        <v>319</v>
      </c>
      <c r="C6" s="140" t="s">
        <v>282</v>
      </c>
      <c r="D6" s="136">
        <v>0.22</v>
      </c>
      <c r="E6" s="141">
        <v>0.22</v>
      </c>
      <c r="F6" s="138" t="s">
        <v>170</v>
      </c>
      <c r="G6" s="171" t="s">
        <v>44</v>
      </c>
    </row>
    <row r="7" spans="1:7" s="52" customFormat="1" ht="30.75" customHeight="1" thickBot="1" thickTop="1">
      <c r="A7" s="192" t="s">
        <v>296</v>
      </c>
      <c r="B7" s="192"/>
      <c r="C7" s="192"/>
      <c r="D7" s="268">
        <f>SUM(D6:D6)</f>
        <v>0.22</v>
      </c>
      <c r="E7" s="193">
        <f>SUM(E6:E6)</f>
        <v>0.22</v>
      </c>
      <c r="F7" s="192"/>
      <c r="G7" s="192"/>
    </row>
    <row r="8" ht="13.5" thickTop="1">
      <c r="D8" s="133"/>
    </row>
    <row r="9" spans="1:7" ht="12.75">
      <c r="A9" s="269" t="s">
        <v>317</v>
      </c>
      <c r="B9" s="134" t="s">
        <v>329</v>
      </c>
      <c r="C9" s="140" t="s">
        <v>312</v>
      </c>
      <c r="D9" s="136">
        <v>114262.5</v>
      </c>
      <c r="E9" s="136">
        <v>114262.5</v>
      </c>
      <c r="F9" s="135" t="s">
        <v>249</v>
      </c>
      <c r="G9" s="135" t="s">
        <v>313</v>
      </c>
    </row>
    <row r="10" spans="1:7" ht="13.5" thickBot="1">
      <c r="A10" s="473" t="s">
        <v>330</v>
      </c>
      <c r="B10" s="204" t="s">
        <v>327</v>
      </c>
      <c r="C10" s="207" t="s">
        <v>328</v>
      </c>
      <c r="D10" s="206">
        <v>0.28</v>
      </c>
      <c r="E10" s="206">
        <v>0.28</v>
      </c>
      <c r="F10" s="205" t="s">
        <v>403</v>
      </c>
      <c r="G10" s="205" t="s">
        <v>44</v>
      </c>
    </row>
    <row r="11" spans="1:7" ht="14.25" thickBot="1" thickTop="1">
      <c r="A11" s="192" t="s">
        <v>296</v>
      </c>
      <c r="B11" s="192"/>
      <c r="C11" s="192"/>
      <c r="D11" s="268">
        <f>SUM(D9:D10)</f>
        <v>114262.78</v>
      </c>
      <c r="E11" s="268">
        <f>SUM(E9:E10)</f>
        <v>114262.78</v>
      </c>
      <c r="F11" s="192"/>
      <c r="G11" s="192"/>
    </row>
    <row r="12" ht="13.5" thickTop="1">
      <c r="D12" s="133"/>
    </row>
    <row r="13" spans="1:7" ht="12.75">
      <c r="A13" s="402" t="s">
        <v>365</v>
      </c>
      <c r="B13" s="140" t="s">
        <v>310</v>
      </c>
      <c r="C13" s="140" t="s">
        <v>280</v>
      </c>
      <c r="D13" s="136">
        <f>1120+500</f>
        <v>1620</v>
      </c>
      <c r="E13" s="275">
        <v>0</v>
      </c>
      <c r="F13" s="140" t="s">
        <v>79</v>
      </c>
      <c r="G13" s="142" t="s">
        <v>0</v>
      </c>
    </row>
    <row r="14" spans="1:7" ht="12.75">
      <c r="A14" s="402" t="s">
        <v>366</v>
      </c>
      <c r="B14" s="204" t="s">
        <v>362</v>
      </c>
      <c r="C14" s="205" t="s">
        <v>228</v>
      </c>
      <c r="D14" s="206">
        <v>2500</v>
      </c>
      <c r="E14" s="276">
        <v>0</v>
      </c>
      <c r="F14" s="138" t="s">
        <v>52</v>
      </c>
      <c r="G14" s="171" t="s">
        <v>126</v>
      </c>
    </row>
    <row r="15" spans="1:7" ht="12.75">
      <c r="A15" s="402" t="s">
        <v>367</v>
      </c>
      <c r="B15" s="207" t="s">
        <v>364</v>
      </c>
      <c r="C15" s="207" t="s">
        <v>276</v>
      </c>
      <c r="D15" s="206">
        <v>3933.28</v>
      </c>
      <c r="E15" s="276">
        <v>0</v>
      </c>
      <c r="F15" s="140" t="s">
        <v>52</v>
      </c>
      <c r="G15" s="142" t="s">
        <v>126</v>
      </c>
    </row>
    <row r="16" spans="1:7" ht="12.75">
      <c r="A16" s="402" t="s">
        <v>368</v>
      </c>
      <c r="B16" s="134" t="s">
        <v>363</v>
      </c>
      <c r="C16" s="135" t="s">
        <v>275</v>
      </c>
      <c r="D16" s="136">
        <v>3172</v>
      </c>
      <c r="E16" s="275">
        <v>0</v>
      </c>
      <c r="F16" s="135" t="s">
        <v>223</v>
      </c>
      <c r="G16" s="135" t="s">
        <v>124</v>
      </c>
    </row>
    <row r="17" spans="1:7" ht="12.75">
      <c r="A17" s="402" t="s">
        <v>369</v>
      </c>
      <c r="B17" s="207" t="s">
        <v>359</v>
      </c>
      <c r="C17" s="207" t="s">
        <v>215</v>
      </c>
      <c r="D17" s="206">
        <v>5.85</v>
      </c>
      <c r="E17" s="276">
        <v>0</v>
      </c>
      <c r="F17" s="140" t="s">
        <v>232</v>
      </c>
      <c r="G17" s="142" t="s">
        <v>233</v>
      </c>
    </row>
    <row r="18" spans="1:7" ht="12.75">
      <c r="A18" s="402" t="s">
        <v>370</v>
      </c>
      <c r="B18" s="134" t="s">
        <v>309</v>
      </c>
      <c r="C18" s="135" t="s">
        <v>215</v>
      </c>
      <c r="D18" s="136">
        <v>25.21</v>
      </c>
      <c r="E18" s="275">
        <v>0</v>
      </c>
      <c r="F18" s="135" t="s">
        <v>141</v>
      </c>
      <c r="G18" s="135" t="s">
        <v>142</v>
      </c>
    </row>
    <row r="19" spans="1:7" ht="12.75">
      <c r="A19" s="402" t="s">
        <v>371</v>
      </c>
      <c r="B19" s="134" t="s">
        <v>377</v>
      </c>
      <c r="C19" s="140" t="s">
        <v>378</v>
      </c>
      <c r="D19" s="136">
        <f>441.67+1000+155.54+19.05</f>
        <v>1616.26</v>
      </c>
      <c r="E19" s="275">
        <v>0</v>
      </c>
      <c r="F19" s="140" t="s">
        <v>79</v>
      </c>
      <c r="G19" s="142" t="s">
        <v>0</v>
      </c>
    </row>
    <row r="20" spans="1:7" ht="12.75">
      <c r="A20" s="402" t="s">
        <v>372</v>
      </c>
      <c r="B20" s="134" t="s">
        <v>377</v>
      </c>
      <c r="C20" s="135" t="s">
        <v>380</v>
      </c>
      <c r="D20" s="136">
        <v>1201</v>
      </c>
      <c r="E20" s="275"/>
      <c r="F20" s="140" t="s">
        <v>170</v>
      </c>
      <c r="G20" s="142" t="s">
        <v>44</v>
      </c>
    </row>
    <row r="21" spans="1:7" s="429" customFormat="1" ht="12.75">
      <c r="A21" s="430" t="s">
        <v>373</v>
      </c>
      <c r="B21" s="428" t="s">
        <v>379</v>
      </c>
      <c r="C21" s="140" t="s">
        <v>378</v>
      </c>
      <c r="D21" s="136">
        <v>240.14</v>
      </c>
      <c r="E21" s="431"/>
      <c r="F21" s="140" t="s">
        <v>79</v>
      </c>
      <c r="G21" s="142" t="s">
        <v>0</v>
      </c>
    </row>
    <row r="22" spans="1:7" ht="13.5" thickBot="1">
      <c r="A22" s="402" t="s">
        <v>374</v>
      </c>
      <c r="B22" s="134" t="s">
        <v>383</v>
      </c>
      <c r="C22" s="140" t="s">
        <v>378</v>
      </c>
      <c r="D22" s="136">
        <v>0.36</v>
      </c>
      <c r="E22" s="275">
        <v>0.36</v>
      </c>
      <c r="F22" s="140" t="s">
        <v>79</v>
      </c>
      <c r="G22" s="140" t="s">
        <v>0</v>
      </c>
    </row>
    <row r="23" spans="1:7" ht="14.25" thickBot="1" thickTop="1">
      <c r="A23" s="192"/>
      <c r="B23" s="192"/>
      <c r="C23" s="192"/>
      <c r="D23" s="268">
        <f>SUM(D13:D22)</f>
        <v>14314.1</v>
      </c>
      <c r="E23" s="268">
        <f>SUM(E13:E22)</f>
        <v>0.36</v>
      </c>
      <c r="F23" s="192"/>
      <c r="G23" s="192"/>
    </row>
    <row r="24" ht="13.5" thickTop="1"/>
    <row r="25" ht="12.75">
      <c r="D25" s="51"/>
    </row>
    <row r="26" spans="1:7" ht="12.75">
      <c r="A26" s="402" t="s">
        <v>394</v>
      </c>
      <c r="B26" s="140" t="s">
        <v>415</v>
      </c>
      <c r="C26" s="140" t="s">
        <v>280</v>
      </c>
      <c r="D26" s="136">
        <v>1649</v>
      </c>
      <c r="E26" s="275">
        <v>0</v>
      </c>
      <c r="F26" s="140" t="s">
        <v>79</v>
      </c>
      <c r="G26" s="142" t="s">
        <v>0</v>
      </c>
    </row>
    <row r="27" spans="1:7" ht="12.75">
      <c r="A27" s="402" t="s">
        <v>393</v>
      </c>
      <c r="B27" s="204" t="s">
        <v>401</v>
      </c>
      <c r="C27" s="205" t="s">
        <v>275</v>
      </c>
      <c r="D27" s="206">
        <v>3172</v>
      </c>
      <c r="E27" s="276">
        <v>0</v>
      </c>
      <c r="F27" s="135" t="s">
        <v>223</v>
      </c>
      <c r="G27" s="432" t="s">
        <v>124</v>
      </c>
    </row>
    <row r="28" spans="1:7" ht="12.75">
      <c r="A28" s="402" t="s">
        <v>396</v>
      </c>
      <c r="B28" s="204" t="s">
        <v>399</v>
      </c>
      <c r="C28" s="205" t="s">
        <v>228</v>
      </c>
      <c r="D28" s="206">
        <v>2500</v>
      </c>
      <c r="E28" s="276">
        <v>0</v>
      </c>
      <c r="F28" s="138" t="s">
        <v>52</v>
      </c>
      <c r="G28" s="171" t="s">
        <v>126</v>
      </c>
    </row>
    <row r="29" spans="1:7" ht="12.75">
      <c r="A29" s="402" t="s">
        <v>395</v>
      </c>
      <c r="B29" s="140" t="s">
        <v>400</v>
      </c>
      <c r="C29" s="140" t="s">
        <v>276</v>
      </c>
      <c r="D29" s="136">
        <v>4060</v>
      </c>
      <c r="E29" s="275">
        <v>0</v>
      </c>
      <c r="F29" s="140" t="s">
        <v>52</v>
      </c>
      <c r="G29" s="140" t="s">
        <v>126</v>
      </c>
    </row>
    <row r="30" spans="1:7" s="133" customFormat="1" ht="12.75">
      <c r="A30" s="472" t="s">
        <v>398</v>
      </c>
      <c r="B30" s="204" t="s">
        <v>309</v>
      </c>
      <c r="C30" s="205" t="s">
        <v>215</v>
      </c>
      <c r="D30" s="206">
        <v>25.21</v>
      </c>
      <c r="E30" s="276">
        <v>0</v>
      </c>
      <c r="F30" s="135" t="s">
        <v>141</v>
      </c>
      <c r="G30" s="432" t="s">
        <v>142</v>
      </c>
    </row>
    <row r="31" spans="1:7" s="133" customFormat="1" ht="12.75">
      <c r="A31" s="472" t="s">
        <v>397</v>
      </c>
      <c r="B31" s="135" t="s">
        <v>402</v>
      </c>
      <c r="C31" s="135" t="s">
        <v>215</v>
      </c>
      <c r="D31" s="136">
        <v>5.85</v>
      </c>
      <c r="E31" s="275">
        <v>0</v>
      </c>
      <c r="F31" s="135" t="s">
        <v>232</v>
      </c>
      <c r="G31" s="135" t="s">
        <v>233</v>
      </c>
    </row>
    <row r="32" spans="1:8" ht="12.75">
      <c r="A32" s="449" t="s">
        <v>407</v>
      </c>
      <c r="B32" s="440" t="s">
        <v>405</v>
      </c>
      <c r="C32" s="440" t="s">
        <v>277</v>
      </c>
      <c r="D32" s="441">
        <v>6</v>
      </c>
      <c r="E32" s="441">
        <v>0</v>
      </c>
      <c r="F32" s="442" t="s">
        <v>375</v>
      </c>
      <c r="G32" s="443" t="s">
        <v>233</v>
      </c>
      <c r="H32" s="443" t="s">
        <v>358</v>
      </c>
    </row>
    <row r="33" spans="1:8" ht="12.75">
      <c r="A33" s="449" t="s">
        <v>408</v>
      </c>
      <c r="B33" s="440" t="s">
        <v>309</v>
      </c>
      <c r="C33" s="440" t="s">
        <v>277</v>
      </c>
      <c r="D33" s="441">
        <v>25.21</v>
      </c>
      <c r="E33" s="441">
        <v>0</v>
      </c>
      <c r="F33" s="442" t="s">
        <v>141</v>
      </c>
      <c r="G33" s="443" t="s">
        <v>142</v>
      </c>
      <c r="H33" s="443" t="s">
        <v>358</v>
      </c>
    </row>
    <row r="34" spans="1:7" s="133" customFormat="1" ht="12.75">
      <c r="A34" s="472" t="s">
        <v>409</v>
      </c>
      <c r="B34" s="135" t="s">
        <v>406</v>
      </c>
      <c r="C34" s="135" t="s">
        <v>228</v>
      </c>
      <c r="D34" s="136">
        <v>24.5</v>
      </c>
      <c r="E34" s="136">
        <v>0</v>
      </c>
      <c r="F34" s="275" t="s">
        <v>58</v>
      </c>
      <c r="G34" s="135" t="s">
        <v>71</v>
      </c>
    </row>
    <row r="35" spans="1:7" s="133" customFormat="1" ht="12.75">
      <c r="A35" s="472" t="s">
        <v>410</v>
      </c>
      <c r="B35" s="247" t="s">
        <v>414</v>
      </c>
      <c r="C35" s="135" t="s">
        <v>413</v>
      </c>
      <c r="D35" s="136">
        <v>183.98</v>
      </c>
      <c r="E35" s="136">
        <v>0</v>
      </c>
      <c r="F35" s="138" t="s">
        <v>52</v>
      </c>
      <c r="G35" s="139" t="s">
        <v>126</v>
      </c>
    </row>
    <row r="36" spans="1:7" s="133" customFormat="1" ht="13.5" thickBot="1">
      <c r="A36" s="472" t="s">
        <v>411</v>
      </c>
      <c r="B36" s="135" t="s">
        <v>412</v>
      </c>
      <c r="C36" s="135" t="s">
        <v>215</v>
      </c>
      <c r="D36" s="136">
        <v>1</v>
      </c>
      <c r="E36" s="136">
        <v>0</v>
      </c>
      <c r="F36" s="135" t="s">
        <v>232</v>
      </c>
      <c r="G36" s="135" t="s">
        <v>233</v>
      </c>
    </row>
    <row r="37" spans="1:7" ht="14.25" thickBot="1" thickTop="1">
      <c r="A37" s="192"/>
      <c r="B37" s="192"/>
      <c r="C37" s="192"/>
      <c r="D37" s="268">
        <f>SUM(D26:D36)</f>
        <v>11652.749999999998</v>
      </c>
      <c r="E37" s="268">
        <f>SUM(E26:E36)</f>
        <v>0</v>
      </c>
      <c r="F37" s="192"/>
      <c r="G37" s="192"/>
    </row>
    <row r="38" ht="13.5" thickTop="1">
      <c r="G38" s="51"/>
    </row>
    <row r="39" spans="1:7" ht="12.75">
      <c r="A39" s="472" t="s">
        <v>455</v>
      </c>
      <c r="B39" s="204" t="s">
        <v>432</v>
      </c>
      <c r="C39" s="205" t="s">
        <v>275</v>
      </c>
      <c r="D39" s="206">
        <f>1603.2+300</f>
        <v>1903.2</v>
      </c>
      <c r="E39" s="206">
        <v>0</v>
      </c>
      <c r="F39" s="135" t="s">
        <v>49</v>
      </c>
      <c r="G39" s="432" t="s">
        <v>124</v>
      </c>
    </row>
    <row r="40" spans="1:7" ht="12.75">
      <c r="A40" s="472" t="s">
        <v>456</v>
      </c>
      <c r="B40" s="204" t="s">
        <v>431</v>
      </c>
      <c r="C40" s="205" t="s">
        <v>228</v>
      </c>
      <c r="D40" s="206">
        <f>1600+400</f>
        <v>2000</v>
      </c>
      <c r="E40" s="206">
        <v>0</v>
      </c>
      <c r="F40" s="138" t="s">
        <v>52</v>
      </c>
      <c r="G40" s="171" t="s">
        <v>126</v>
      </c>
    </row>
    <row r="41" spans="1:7" ht="12.75">
      <c r="A41" s="472" t="s">
        <v>457</v>
      </c>
      <c r="B41" s="140" t="s">
        <v>433</v>
      </c>
      <c r="C41" s="140" t="s">
        <v>276</v>
      </c>
      <c r="D41" s="136">
        <f>2320.74+410</f>
        <v>2730.74</v>
      </c>
      <c r="E41" s="136">
        <v>0</v>
      </c>
      <c r="F41" s="140" t="s">
        <v>52</v>
      </c>
      <c r="G41" s="140" t="s">
        <v>126</v>
      </c>
    </row>
    <row r="42" spans="1:7" ht="12.75">
      <c r="A42" s="472" t="s">
        <v>458</v>
      </c>
      <c r="B42" s="140" t="s">
        <v>310</v>
      </c>
      <c r="C42" s="140" t="s">
        <v>280</v>
      </c>
      <c r="D42" s="136">
        <v>1110</v>
      </c>
      <c r="E42" s="136">
        <v>0</v>
      </c>
      <c r="F42" s="140" t="s">
        <v>79</v>
      </c>
      <c r="G42" s="142" t="s">
        <v>0</v>
      </c>
    </row>
    <row r="43" spans="1:7" ht="12.75">
      <c r="A43" s="472" t="s">
        <v>459</v>
      </c>
      <c r="B43" s="477" t="s">
        <v>449</v>
      </c>
      <c r="C43" s="140" t="s">
        <v>215</v>
      </c>
      <c r="D43" s="136">
        <v>6.95</v>
      </c>
      <c r="E43" s="136">
        <v>0</v>
      </c>
      <c r="F43" s="135" t="s">
        <v>232</v>
      </c>
      <c r="G43" s="135" t="s">
        <v>233</v>
      </c>
    </row>
    <row r="44" spans="1:7" ht="12.75">
      <c r="A44" s="472" t="s">
        <v>470</v>
      </c>
      <c r="B44" s="477" t="s">
        <v>309</v>
      </c>
      <c r="C44" s="140" t="s">
        <v>215</v>
      </c>
      <c r="D44" s="136">
        <v>25.14</v>
      </c>
      <c r="E44" s="136">
        <v>0</v>
      </c>
      <c r="F44" s="135" t="s">
        <v>141</v>
      </c>
      <c r="G44" s="135" t="s">
        <v>142</v>
      </c>
    </row>
    <row r="45" spans="1:7" ht="12.75">
      <c r="A45" s="472" t="s">
        <v>471</v>
      </c>
      <c r="B45" s="480" t="s">
        <v>451</v>
      </c>
      <c r="C45" s="475" t="s">
        <v>452</v>
      </c>
      <c r="D45" s="136">
        <v>61.39</v>
      </c>
      <c r="E45" s="136">
        <v>0</v>
      </c>
      <c r="F45" s="135" t="s">
        <v>173</v>
      </c>
      <c r="G45" s="135" t="s">
        <v>171</v>
      </c>
    </row>
    <row r="46" spans="1:8" ht="12.75">
      <c r="A46" s="449" t="s">
        <v>472</v>
      </c>
      <c r="B46" s="440" t="s">
        <v>450</v>
      </c>
      <c r="C46" s="440" t="s">
        <v>215</v>
      </c>
      <c r="D46" s="478">
        <v>7</v>
      </c>
      <c r="E46" s="478">
        <v>0</v>
      </c>
      <c r="F46" s="442" t="s">
        <v>375</v>
      </c>
      <c r="G46" s="443" t="s">
        <v>233</v>
      </c>
      <c r="H46" s="476" t="s">
        <v>358</v>
      </c>
    </row>
    <row r="47" spans="1:8" ht="12.75">
      <c r="A47" s="449" t="s">
        <v>473</v>
      </c>
      <c r="B47" s="440" t="s">
        <v>309</v>
      </c>
      <c r="C47" s="440" t="s">
        <v>215</v>
      </c>
      <c r="D47" s="478">
        <v>25.14</v>
      </c>
      <c r="E47" s="478">
        <v>0</v>
      </c>
      <c r="F47" s="442" t="s">
        <v>141</v>
      </c>
      <c r="G47" s="443" t="s">
        <v>142</v>
      </c>
      <c r="H47" s="476" t="s">
        <v>358</v>
      </c>
    </row>
    <row r="48" spans="1:7" ht="12.75">
      <c r="A48" s="472" t="s">
        <v>474</v>
      </c>
      <c r="B48" s="135" t="s">
        <v>462</v>
      </c>
      <c r="C48" s="140" t="s">
        <v>460</v>
      </c>
      <c r="D48" s="136">
        <v>77460.94</v>
      </c>
      <c r="E48" s="136">
        <f>77460.94-'GIORNALE DELLE SPESE'!E13-'GIORNALE DELLE SPESE'!E171-'GIORNALE DELLE SPESE'!E173</f>
        <v>0</v>
      </c>
      <c r="F48" s="140" t="s">
        <v>249</v>
      </c>
      <c r="G48" s="140" t="s">
        <v>313</v>
      </c>
    </row>
    <row r="49" spans="1:7" ht="12.75">
      <c r="A49" s="472" t="s">
        <v>475</v>
      </c>
      <c r="B49" s="135" t="s">
        <v>463</v>
      </c>
      <c r="C49" s="140" t="s">
        <v>461</v>
      </c>
      <c r="D49" s="136">
        <v>127898.44</v>
      </c>
      <c r="E49" s="136">
        <v>127898.44</v>
      </c>
      <c r="F49" s="140" t="s">
        <v>249</v>
      </c>
      <c r="G49" s="142" t="s">
        <v>313</v>
      </c>
    </row>
    <row r="50" spans="1:7" ht="12.75">
      <c r="A50" s="472" t="s">
        <v>476</v>
      </c>
      <c r="B50" s="135" t="s">
        <v>464</v>
      </c>
      <c r="C50" s="140" t="s">
        <v>427</v>
      </c>
      <c r="D50" s="136">
        <v>53554.69</v>
      </c>
      <c r="E50" s="136">
        <v>53554.69</v>
      </c>
      <c r="F50" s="138" t="s">
        <v>249</v>
      </c>
      <c r="G50" s="139" t="s">
        <v>313</v>
      </c>
    </row>
    <row r="51" spans="1:7" ht="12.75">
      <c r="A51" s="472" t="s">
        <v>477</v>
      </c>
      <c r="B51" s="579" t="s">
        <v>465</v>
      </c>
      <c r="C51" s="140" t="s">
        <v>460</v>
      </c>
      <c r="D51" s="274">
        <v>24960.94</v>
      </c>
      <c r="E51" s="274">
        <f>24960.94-'GIORNALE DELLE SPESE'!E14</f>
        <v>7488.279999999999</v>
      </c>
      <c r="F51" s="135" t="s">
        <v>249</v>
      </c>
      <c r="G51" s="135" t="s">
        <v>313</v>
      </c>
    </row>
    <row r="52" spans="1:7" ht="12.75">
      <c r="A52" s="472" t="s">
        <v>478</v>
      </c>
      <c r="B52" s="579" t="s">
        <v>466</v>
      </c>
      <c r="C52" s="140" t="s">
        <v>461</v>
      </c>
      <c r="D52" s="274">
        <v>22640.63</v>
      </c>
      <c r="E52" s="274">
        <v>22640.63</v>
      </c>
      <c r="F52" s="135" t="s">
        <v>249</v>
      </c>
      <c r="G52" s="135" t="s">
        <v>313</v>
      </c>
    </row>
    <row r="53" spans="1:7" ht="12.75">
      <c r="A53" s="472" t="s">
        <v>479</v>
      </c>
      <c r="B53" s="135" t="s">
        <v>467</v>
      </c>
      <c r="C53" s="140" t="s">
        <v>427</v>
      </c>
      <c r="D53" s="274">
        <v>73335.94</v>
      </c>
      <c r="E53" s="274">
        <v>73335.94</v>
      </c>
      <c r="F53" s="135" t="s">
        <v>249</v>
      </c>
      <c r="G53" s="135" t="s">
        <v>313</v>
      </c>
    </row>
    <row r="54" spans="1:7" ht="13.5" thickBot="1">
      <c r="A54" s="479" t="s">
        <v>481</v>
      </c>
      <c r="B54" s="175" t="s">
        <v>383</v>
      </c>
      <c r="C54" s="140" t="s">
        <v>280</v>
      </c>
      <c r="D54" s="274">
        <v>52</v>
      </c>
      <c r="E54" s="274">
        <v>52</v>
      </c>
      <c r="F54" s="140" t="s">
        <v>79</v>
      </c>
      <c r="G54" s="142" t="s">
        <v>0</v>
      </c>
    </row>
    <row r="55" spans="1:7" ht="14.25" thickBot="1" thickTop="1">
      <c r="A55" s="192"/>
      <c r="B55" s="192"/>
      <c r="C55" s="192"/>
      <c r="D55" s="268">
        <f>SUM(D39:D54)</f>
        <v>387773.14</v>
      </c>
      <c r="E55" s="268">
        <f>SUM(E39:E54)</f>
        <v>284969.98</v>
      </c>
      <c r="F55" s="192"/>
      <c r="G55" s="192"/>
    </row>
    <row r="56" ht="13.5" thickTop="1"/>
    <row r="57" spans="4:5" ht="12.75">
      <c r="D57" s="539">
        <f>E7+E11+E23+E37+D55</f>
        <v>502036.5</v>
      </c>
      <c r="E57" s="601">
        <f>E7+E11+E23+E37+E55</f>
        <v>399233.33999999997</v>
      </c>
    </row>
    <row r="59" spans="1:7" ht="12.75">
      <c r="A59" s="472" t="s">
        <v>661</v>
      </c>
      <c r="B59" s="135" t="s">
        <v>664</v>
      </c>
      <c r="C59" s="135" t="s">
        <v>460</v>
      </c>
      <c r="D59" s="136">
        <v>92187.5</v>
      </c>
      <c r="E59" s="136">
        <f>D59-'GIORNALE DELLE SPESE'!E15</f>
        <v>46093.75</v>
      </c>
      <c r="F59" s="135" t="s">
        <v>249</v>
      </c>
      <c r="G59" s="135" t="s">
        <v>313</v>
      </c>
    </row>
    <row r="60" spans="1:7" ht="12.75">
      <c r="A60" s="472" t="s">
        <v>662</v>
      </c>
      <c r="B60" s="135" t="s">
        <v>665</v>
      </c>
      <c r="C60" s="135" t="s">
        <v>461</v>
      </c>
      <c r="D60" s="136">
        <v>38906.25</v>
      </c>
      <c r="E60" s="136">
        <f>D60</f>
        <v>38906.25</v>
      </c>
      <c r="F60" s="135" t="s">
        <v>249</v>
      </c>
      <c r="G60" s="135" t="s">
        <v>313</v>
      </c>
    </row>
    <row r="61" spans="1:7" ht="12.75">
      <c r="A61" s="472" t="s">
        <v>663</v>
      </c>
      <c r="B61" s="135" t="s">
        <v>666</v>
      </c>
      <c r="C61" s="135" t="s">
        <v>427</v>
      </c>
      <c r="D61" s="136">
        <v>34843.75</v>
      </c>
      <c r="E61" s="136">
        <f>D61</f>
        <v>34843.75</v>
      </c>
      <c r="F61" s="138" t="s">
        <v>249</v>
      </c>
      <c r="G61" s="139" t="s">
        <v>313</v>
      </c>
    </row>
    <row r="62" spans="1:7" ht="12.75">
      <c r="A62" s="472" t="s">
        <v>698</v>
      </c>
      <c r="B62" s="134" t="s">
        <v>764</v>
      </c>
      <c r="C62" s="135" t="s">
        <v>275</v>
      </c>
      <c r="D62" s="136">
        <f>1603.2+300</f>
        <v>1903.2</v>
      </c>
      <c r="E62" s="136">
        <f>1603.2+300</f>
        <v>1903.2</v>
      </c>
      <c r="F62" s="135" t="s">
        <v>49</v>
      </c>
      <c r="G62" s="135" t="s">
        <v>124</v>
      </c>
    </row>
    <row r="63" spans="1:7" ht="12.75">
      <c r="A63" s="472" t="s">
        <v>699</v>
      </c>
      <c r="B63" s="134" t="s">
        <v>765</v>
      </c>
      <c r="C63" s="135" t="s">
        <v>228</v>
      </c>
      <c r="D63" s="136">
        <v>2500</v>
      </c>
      <c r="E63" s="136">
        <v>2500</v>
      </c>
      <c r="F63" s="138" t="s">
        <v>52</v>
      </c>
      <c r="G63" s="139" t="s">
        <v>126</v>
      </c>
    </row>
    <row r="64" spans="1:7" ht="12.75">
      <c r="A64" s="472" t="s">
        <v>700</v>
      </c>
      <c r="B64" s="135" t="s">
        <v>766</v>
      </c>
      <c r="C64" s="135" t="s">
        <v>276</v>
      </c>
      <c r="D64" s="136">
        <f>2320.74+410</f>
        <v>2730.74</v>
      </c>
      <c r="E64" s="136">
        <f>2320.74+410</f>
        <v>2730.74</v>
      </c>
      <c r="F64" s="135" t="s">
        <v>52</v>
      </c>
      <c r="G64" s="135" t="s">
        <v>126</v>
      </c>
    </row>
    <row r="65" spans="1:7" ht="12.75">
      <c r="A65" s="472" t="s">
        <v>701</v>
      </c>
      <c r="B65" s="135" t="s">
        <v>310</v>
      </c>
      <c r="C65" s="135" t="s">
        <v>280</v>
      </c>
      <c r="D65" s="136">
        <v>1210</v>
      </c>
      <c r="E65" s="136">
        <v>1210</v>
      </c>
      <c r="F65" s="135" t="s">
        <v>79</v>
      </c>
      <c r="G65" s="135" t="s">
        <v>0</v>
      </c>
    </row>
    <row r="66" spans="1:7" ht="12.75">
      <c r="A66" s="472" t="s">
        <v>742</v>
      </c>
      <c r="B66" s="579" t="s">
        <v>465</v>
      </c>
      <c r="C66" s="135" t="s">
        <v>460</v>
      </c>
      <c r="D66" s="274">
        <v>24960.9375</v>
      </c>
      <c r="E66" s="274">
        <v>24960.9375</v>
      </c>
      <c r="F66" s="135" t="s">
        <v>249</v>
      </c>
      <c r="G66" s="135" t="s">
        <v>313</v>
      </c>
    </row>
    <row r="67" spans="1:7" ht="12.75">
      <c r="A67" s="472" t="s">
        <v>743</v>
      </c>
      <c r="B67" s="579" t="s">
        <v>466</v>
      </c>
      <c r="C67" s="135" t="s">
        <v>461</v>
      </c>
      <c r="D67" s="274">
        <v>22640.625</v>
      </c>
      <c r="E67" s="274">
        <v>22640.625</v>
      </c>
      <c r="F67" s="135" t="s">
        <v>249</v>
      </c>
      <c r="G67" s="135" t="s">
        <v>313</v>
      </c>
    </row>
    <row r="68" spans="1:7" ht="12.75">
      <c r="A68" s="472" t="s">
        <v>744</v>
      </c>
      <c r="B68" s="135" t="s">
        <v>467</v>
      </c>
      <c r="C68" s="135" t="s">
        <v>427</v>
      </c>
      <c r="D68" s="274">
        <v>73335.9375</v>
      </c>
      <c r="E68" s="274">
        <v>73335.9375</v>
      </c>
      <c r="F68" s="135" t="s">
        <v>249</v>
      </c>
      <c r="G68" s="135" t="s">
        <v>313</v>
      </c>
    </row>
    <row r="69" spans="1:7" ht="12.75">
      <c r="A69" s="472" t="s">
        <v>746</v>
      </c>
      <c r="B69" s="135" t="s">
        <v>745</v>
      </c>
      <c r="C69" s="135" t="s">
        <v>660</v>
      </c>
      <c r="D69" s="274">
        <v>194636.25</v>
      </c>
      <c r="E69" s="274">
        <f>D69-'GIORNALE DELLE SPESE'!E163-'GIORNALE DELLE SPESE'!E169</f>
        <v>97318.13</v>
      </c>
      <c r="F69" s="135" t="s">
        <v>249</v>
      </c>
      <c r="G69" s="135" t="s">
        <v>313</v>
      </c>
    </row>
    <row r="70" spans="1:7" ht="12.75">
      <c r="A70" s="472" t="s">
        <v>747</v>
      </c>
      <c r="B70" s="135" t="s">
        <v>748</v>
      </c>
      <c r="C70" s="135" t="s">
        <v>312</v>
      </c>
      <c r="D70" s="274">
        <v>28083.75</v>
      </c>
      <c r="E70" s="274">
        <f>D70-'GIORNALE DELLE SPESE'!E179</f>
        <v>8425.119999999999</v>
      </c>
      <c r="F70" s="135" t="s">
        <v>249</v>
      </c>
      <c r="G70" s="135" t="s">
        <v>313</v>
      </c>
    </row>
    <row r="71" spans="1:7" ht="12.75">
      <c r="A71" s="472" t="s">
        <v>753</v>
      </c>
      <c r="B71" s="135" t="s">
        <v>749</v>
      </c>
      <c r="C71" s="250" t="s">
        <v>480</v>
      </c>
      <c r="D71" s="274">
        <v>33750</v>
      </c>
      <c r="E71" s="274">
        <f>D71</f>
        <v>33750</v>
      </c>
      <c r="F71" s="135" t="s">
        <v>249</v>
      </c>
      <c r="G71" s="135" t="s">
        <v>313</v>
      </c>
    </row>
    <row r="72" spans="1:7" ht="12.75">
      <c r="A72" s="472" t="s">
        <v>754</v>
      </c>
      <c r="B72" s="135" t="s">
        <v>750</v>
      </c>
      <c r="C72" s="135" t="s">
        <v>436</v>
      </c>
      <c r="D72" s="274">
        <v>45937.5</v>
      </c>
      <c r="E72" s="274">
        <f>D72</f>
        <v>45937.5</v>
      </c>
      <c r="F72" s="135" t="s">
        <v>249</v>
      </c>
      <c r="G72" s="135" t="s">
        <v>313</v>
      </c>
    </row>
    <row r="73" spans="1:7" ht="12.75">
      <c r="A73" s="472" t="s">
        <v>755</v>
      </c>
      <c r="B73" s="135" t="s">
        <v>751</v>
      </c>
      <c r="C73" s="135" t="s">
        <v>437</v>
      </c>
      <c r="D73" s="274">
        <v>222187.5</v>
      </c>
      <c r="E73" s="274">
        <f>D73-'GIORNALE DELLE SPESE'!E175</f>
        <v>111093.7475</v>
      </c>
      <c r="F73" s="135" t="s">
        <v>249</v>
      </c>
      <c r="G73" s="135" t="s">
        <v>313</v>
      </c>
    </row>
    <row r="74" spans="1:7" ht="12.75">
      <c r="A74" s="580" t="s">
        <v>756</v>
      </c>
      <c r="B74" s="205" t="s">
        <v>752</v>
      </c>
      <c r="C74" s="205" t="s">
        <v>312</v>
      </c>
      <c r="D74" s="581">
        <v>134062.5</v>
      </c>
      <c r="E74" s="581">
        <f>D74-'GIORNALE DELLE SPESE'!E177</f>
        <v>67031.25</v>
      </c>
      <c r="F74" s="205" t="s">
        <v>249</v>
      </c>
      <c r="G74" s="205" t="s">
        <v>313</v>
      </c>
    </row>
    <row r="75" spans="1:7" ht="12.75">
      <c r="A75" s="472" t="s">
        <v>805</v>
      </c>
      <c r="B75" s="604" t="s">
        <v>803</v>
      </c>
      <c r="C75" s="140" t="s">
        <v>215</v>
      </c>
      <c r="D75" s="136">
        <v>6.95</v>
      </c>
      <c r="E75" s="136">
        <v>6.95</v>
      </c>
      <c r="F75" s="135" t="s">
        <v>232</v>
      </c>
      <c r="G75" s="135" t="s">
        <v>233</v>
      </c>
    </row>
    <row r="76" spans="1:7" ht="13.5" thickBot="1">
      <c r="A76" s="472" t="s">
        <v>806</v>
      </c>
      <c r="B76" s="477" t="s">
        <v>309</v>
      </c>
      <c r="C76" s="140" t="s">
        <v>215</v>
      </c>
      <c r="D76" s="136">
        <v>25.21</v>
      </c>
      <c r="E76" s="136">
        <v>25.21</v>
      </c>
      <c r="F76" s="135" t="s">
        <v>141</v>
      </c>
      <c r="G76" s="135" t="s">
        <v>142</v>
      </c>
    </row>
    <row r="77" spans="1:7" ht="14.25" thickBot="1" thickTop="1">
      <c r="A77" s="192"/>
      <c r="B77" s="192"/>
      <c r="C77" s="192"/>
      <c r="D77" s="268">
        <f>SUM(D59:D76)</f>
        <v>953908.5999999999</v>
      </c>
      <c r="E77" s="268">
        <f>SUM(E59:E76)</f>
        <v>612713.0974999999</v>
      </c>
      <c r="F77" s="192"/>
      <c r="G77" s="192"/>
    </row>
    <row r="78" ht="13.5" thickTop="1"/>
    <row r="79" spans="4:5" ht="12.75">
      <c r="D79" s="539"/>
      <c r="E79" s="539">
        <f>E57+E77</f>
        <v>1011946.4374999999</v>
      </c>
    </row>
    <row r="82" ht="12.75">
      <c r="E82" s="51"/>
    </row>
  </sheetData>
  <sheetProtection/>
  <mergeCells count="1">
    <mergeCell ref="A1:G1"/>
  </mergeCells>
  <printOptions/>
  <pageMargins left="0.33" right="0.2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9"/>
  <sheetViews>
    <sheetView zoomScalePageLayoutView="0" workbookViewId="0" topLeftCell="A21">
      <selection activeCell="C39" sqref="C39"/>
    </sheetView>
  </sheetViews>
  <sheetFormatPr defaultColWidth="9.140625" defaultRowHeight="12.75"/>
  <cols>
    <col min="1" max="1" width="59.00390625" style="50" bestFit="1" customWidth="1"/>
    <col min="2" max="2" width="15.7109375" style="50" customWidth="1"/>
    <col min="3" max="3" width="16.140625" style="50" bestFit="1" customWidth="1"/>
    <col min="4" max="4" width="12.8515625" style="50" bestFit="1" customWidth="1"/>
    <col min="5" max="5" width="24.57421875" style="50" bestFit="1" customWidth="1"/>
    <col min="6" max="6" width="25.8515625" style="50" customWidth="1"/>
    <col min="7" max="16384" width="9.140625" style="50" customWidth="1"/>
  </cols>
  <sheetData>
    <row r="1" spans="1:6" s="52" customFormat="1" ht="12.75">
      <c r="A1" s="611" t="s">
        <v>827</v>
      </c>
      <c r="B1" s="611"/>
      <c r="C1" s="611"/>
      <c r="D1" s="130"/>
      <c r="E1" s="130"/>
      <c r="F1" s="130"/>
    </row>
    <row r="2" spans="1:6" ht="12.75">
      <c r="A2" s="611"/>
      <c r="B2" s="611"/>
      <c r="C2" s="611"/>
      <c r="D2" s="79"/>
      <c r="E2" s="79"/>
      <c r="F2" s="79"/>
    </row>
    <row r="3" spans="1:6" ht="12.75">
      <c r="A3" s="80"/>
      <c r="B3" s="80"/>
      <c r="C3" s="80"/>
      <c r="D3" s="79"/>
      <c r="E3" s="79"/>
      <c r="F3" s="79"/>
    </row>
    <row r="4" spans="1:6" ht="12.75">
      <c r="A4" s="80" t="s">
        <v>828</v>
      </c>
      <c r="B4" s="80"/>
      <c r="C4" s="80"/>
      <c r="D4" s="79"/>
      <c r="E4" s="79"/>
      <c r="F4" s="79"/>
    </row>
    <row r="5" spans="1:6" ht="12.75">
      <c r="A5" s="80"/>
      <c r="B5" s="80"/>
      <c r="C5" s="80"/>
      <c r="D5" s="79"/>
      <c r="E5" s="79"/>
      <c r="F5" s="79"/>
    </row>
    <row r="6" spans="1:6" ht="12.75">
      <c r="A6" s="50" t="s">
        <v>482</v>
      </c>
      <c r="C6" s="174">
        <v>396257.37</v>
      </c>
      <c r="F6" s="199"/>
    </row>
    <row r="7" spans="1:6" ht="12.75">
      <c r="A7" s="50" t="s">
        <v>483</v>
      </c>
      <c r="C7" s="174">
        <v>51463.54</v>
      </c>
      <c r="F7" s="199"/>
    </row>
    <row r="8" spans="3:6" ht="12.75">
      <c r="C8" s="54"/>
      <c r="F8" s="199"/>
    </row>
    <row r="9" spans="1:6" ht="12.75">
      <c r="A9" s="50" t="s">
        <v>234</v>
      </c>
      <c r="C9" s="54">
        <f>'GIORNALE DELLE ENTRATE'!$E$47</f>
        <v>1175832.2310807686</v>
      </c>
      <c r="E9" s="172"/>
      <c r="F9" s="54"/>
    </row>
    <row r="10" ht="12.75">
      <c r="C10" s="201"/>
    </row>
    <row r="11" spans="1:6" ht="12.75">
      <c r="A11" s="50" t="s">
        <v>235</v>
      </c>
      <c r="C11" s="214">
        <f>'GIORNALE DELLE SPESE'!E181</f>
        <v>685493.7925000001</v>
      </c>
      <c r="F11" s="54"/>
    </row>
    <row r="12" spans="3:6" ht="12.75">
      <c r="C12" s="201"/>
      <c r="F12" s="54"/>
    </row>
    <row r="13" spans="1:5" ht="12.75">
      <c r="A13" s="52" t="s">
        <v>829</v>
      </c>
      <c r="B13" s="52"/>
      <c r="C13" s="53">
        <f>C6+C7+C9-C11</f>
        <v>938059.3485807684</v>
      </c>
      <c r="D13" s="54"/>
      <c r="E13" s="54"/>
    </row>
    <row r="16" spans="1:3" s="167" customFormat="1" ht="12.75">
      <c r="A16" s="167" t="s">
        <v>484</v>
      </c>
      <c r="C16" s="475">
        <v>836627.66</v>
      </c>
    </row>
    <row r="17" spans="1:3" s="167" customFormat="1" ht="12.75">
      <c r="A17" s="167" t="s">
        <v>485</v>
      </c>
      <c r="C17" s="475">
        <v>0</v>
      </c>
    </row>
    <row r="18" spans="1:5" s="167" customFormat="1" ht="12.75">
      <c r="A18" s="167" t="s">
        <v>820</v>
      </c>
      <c r="C18" s="610">
        <v>101431.69</v>
      </c>
      <c r="E18" s="167" t="s">
        <v>821</v>
      </c>
    </row>
    <row r="19" spans="1:5" s="167" customFormat="1" ht="12.75">
      <c r="A19" s="209" t="s">
        <v>830</v>
      </c>
      <c r="C19" s="210">
        <f>SUM(C16:C18)</f>
        <v>938059.3500000001</v>
      </c>
      <c r="E19" s="174">
        <f>C13-C19</f>
        <v>-0.0014192316448315978</v>
      </c>
    </row>
    <row r="20" spans="5:6" ht="12.75">
      <c r="E20" s="167"/>
      <c r="F20" s="167"/>
    </row>
    <row r="21" spans="5:6" ht="12.75">
      <c r="E21" s="167"/>
      <c r="F21" s="174"/>
    </row>
    <row r="23" spans="1:6" ht="12.75">
      <c r="A23" s="80" t="s">
        <v>826</v>
      </c>
      <c r="F23" s="54"/>
    </row>
    <row r="24" ht="12.75">
      <c r="C24" s="167"/>
    </row>
    <row r="25" spans="1:5" ht="12.75">
      <c r="A25" s="50" t="s">
        <v>804</v>
      </c>
      <c r="B25" s="405"/>
      <c r="C25" s="406">
        <f>C19</f>
        <v>938059.3500000001</v>
      </c>
      <c r="E25" s="131"/>
    </row>
    <row r="26" spans="2:5" ht="12.75">
      <c r="B26" s="405"/>
      <c r="C26" s="405"/>
      <c r="E26" s="81"/>
    </row>
    <row r="27" spans="1:6" ht="12.75">
      <c r="A27" s="50" t="s">
        <v>236</v>
      </c>
      <c r="B27" s="405" t="s">
        <v>237</v>
      </c>
      <c r="C27" s="406">
        <f>accertamenti!E62</f>
        <v>170676.82625</v>
      </c>
      <c r="F27" s="54"/>
    </row>
    <row r="28" spans="2:5" ht="12.75">
      <c r="B28" s="405"/>
      <c r="C28" s="405"/>
      <c r="E28" s="81"/>
    </row>
    <row r="29" spans="1:6" ht="12.75">
      <c r="A29" s="50" t="s">
        <v>238</v>
      </c>
      <c r="B29" s="405" t="s">
        <v>239</v>
      </c>
      <c r="C29" s="406">
        <f>IMPEGNI!E57+IMPEGNI!E77</f>
        <v>1011946.4374999999</v>
      </c>
      <c r="E29" s="132"/>
      <c r="F29" s="54"/>
    </row>
    <row r="30" spans="2:3" ht="12.75">
      <c r="B30" s="405"/>
      <c r="C30" s="405"/>
    </row>
    <row r="31" spans="2:3" ht="12.75">
      <c r="B31" s="405"/>
      <c r="C31" s="405"/>
    </row>
    <row r="32" spans="1:6" ht="12.75">
      <c r="A32" s="52" t="s">
        <v>825</v>
      </c>
      <c r="B32" s="407"/>
      <c r="C32" s="408">
        <f>C25+C27-C29</f>
        <v>96789.73875000014</v>
      </c>
      <c r="D32" s="172"/>
      <c r="E32" s="213"/>
      <c r="F32" s="53"/>
    </row>
    <row r="33" ht="13.5" thickBot="1">
      <c r="F33" s="54"/>
    </row>
    <row r="34" spans="1:6" ht="12.75">
      <c r="A34" s="621" t="s">
        <v>256</v>
      </c>
      <c r="B34" s="622"/>
      <c r="C34" s="623"/>
      <c r="F34" s="54"/>
    </row>
    <row r="35" spans="1:3" ht="12.75">
      <c r="A35" s="176"/>
      <c r="B35" s="177"/>
      <c r="C35" s="178"/>
    </row>
    <row r="36" spans="1:3" ht="12.75">
      <c r="A36" s="179" t="s">
        <v>257</v>
      </c>
      <c r="B36" s="180"/>
      <c r="C36" s="181">
        <f>$C$32</f>
        <v>96789.73875000014</v>
      </c>
    </row>
    <row r="37" spans="1:5" ht="12.75">
      <c r="A37" s="182" t="s">
        <v>294</v>
      </c>
      <c r="B37" s="180"/>
      <c r="C37" s="183">
        <f>'Spese '!$I$51</f>
        <v>32925.96000000001</v>
      </c>
      <c r="E37" s="54"/>
    </row>
    <row r="38" spans="1:3" ht="12.75">
      <c r="A38" s="182" t="s">
        <v>306</v>
      </c>
      <c r="B38" s="180"/>
      <c r="C38" s="181">
        <f>'Spese '!I65</f>
        <v>4295.880000000121</v>
      </c>
    </row>
    <row r="39" spans="1:3" ht="12.75">
      <c r="A39" s="184"/>
      <c r="B39" s="185"/>
      <c r="C39" s="186">
        <f>C36-C37-C38</f>
        <v>59567.89875000001</v>
      </c>
    </row>
    <row r="40" spans="1:5" ht="12.75">
      <c r="A40" s="179"/>
      <c r="B40" s="180"/>
      <c r="C40" s="187"/>
      <c r="E40" s="199"/>
    </row>
    <row r="41" spans="1:3" ht="13.5" thickBot="1">
      <c r="A41" s="486" t="s">
        <v>819</v>
      </c>
      <c r="B41" s="487"/>
      <c r="C41" s="488">
        <v>12000</v>
      </c>
    </row>
    <row r="42" ht="12.75">
      <c r="E42" s="54"/>
    </row>
    <row r="45" ht="12.75">
      <c r="B45" s="172"/>
    </row>
    <row r="47" spans="2:4" ht="12.75">
      <c r="B47" s="172"/>
      <c r="C47" s="270"/>
      <c r="D47" s="213"/>
    </row>
    <row r="48" spans="3:4" ht="12.75">
      <c r="C48" s="81"/>
      <c r="D48" s="81"/>
    </row>
    <row r="49" spans="3:4" ht="12.75">
      <c r="C49" s="81"/>
      <c r="D49" s="81"/>
    </row>
  </sheetData>
  <sheetProtection/>
  <mergeCells count="2">
    <mergeCell ref="A1:C2"/>
    <mergeCell ref="A34:C34"/>
  </mergeCells>
  <printOptions horizontalCentered="1"/>
  <pageMargins left="0.1968503937007874" right="0.15748031496062992" top="0.7480314960629921" bottom="0.7480314960629921" header="0.31496062992125984" footer="0.31496062992125984"/>
  <pageSetup fitToWidth="0" fitToHeight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30.421875" style="0" customWidth="1"/>
    <col min="2" max="2" width="13.8515625" style="0" bestFit="1" customWidth="1"/>
    <col min="3" max="3" width="22.57421875" style="0" customWidth="1"/>
    <col min="4" max="4" width="28.7109375" style="0" bestFit="1" customWidth="1"/>
    <col min="5" max="5" width="18.7109375" style="0" customWidth="1"/>
    <col min="6" max="6" width="24.57421875" style="0" bestFit="1" customWidth="1"/>
    <col min="7" max="7" width="17.8515625" style="0" bestFit="1" customWidth="1"/>
    <col min="8" max="8" width="13.8515625" style="0" bestFit="1" customWidth="1"/>
    <col min="9" max="9" width="12.8515625" style="0" bestFit="1" customWidth="1"/>
    <col min="10" max="11" width="13.8515625" style="0" bestFit="1" customWidth="1"/>
    <col min="12" max="12" width="12.8515625" style="0" bestFit="1" customWidth="1"/>
    <col min="13" max="13" width="12.00390625" style="0" bestFit="1" customWidth="1"/>
    <col min="14" max="15" width="11.7109375" style="0" bestFit="1" customWidth="1"/>
  </cols>
  <sheetData>
    <row r="2" spans="6:9" ht="12.75">
      <c r="F2" t="s">
        <v>649</v>
      </c>
      <c r="G2" s="526">
        <v>0.5</v>
      </c>
      <c r="H2" s="526">
        <v>0.3</v>
      </c>
      <c r="I2" s="526">
        <v>0.2</v>
      </c>
    </row>
    <row r="3" spans="6:9" ht="12.75">
      <c r="F3" t="s">
        <v>650</v>
      </c>
      <c r="G3" s="526">
        <v>0.7</v>
      </c>
      <c r="H3" s="526">
        <v>0.3</v>
      </c>
      <c r="I3" s="526"/>
    </row>
    <row r="5" spans="1:6" s="133" customFormat="1" ht="20.25">
      <c r="A5" s="578" t="s">
        <v>453</v>
      </c>
      <c r="E5" s="403"/>
      <c r="F5" s="403"/>
    </row>
    <row r="6" spans="5:15" s="133" customFormat="1" ht="12.75">
      <c r="E6" s="403"/>
      <c r="F6" s="403"/>
      <c r="G6" s="624" t="s">
        <v>651</v>
      </c>
      <c r="H6" s="625"/>
      <c r="I6" s="626"/>
      <c r="J6" s="624" t="s">
        <v>652</v>
      </c>
      <c r="K6" s="625"/>
      <c r="L6" s="626"/>
      <c r="M6" s="571">
        <v>0.03</v>
      </c>
      <c r="N6" s="250"/>
      <c r="O6" s="250"/>
    </row>
    <row r="7" spans="1:15" s="133" customFormat="1" ht="12.75">
      <c r="A7" s="399"/>
      <c r="B7" s="399"/>
      <c r="C7" s="399" t="s">
        <v>440</v>
      </c>
      <c r="D7" s="399" t="s">
        <v>442</v>
      </c>
      <c r="E7" s="404" t="s">
        <v>443</v>
      </c>
      <c r="F7" s="404" t="s">
        <v>454</v>
      </c>
      <c r="G7" s="404"/>
      <c r="H7" s="404"/>
      <c r="I7" s="404"/>
      <c r="J7" s="399" t="s">
        <v>653</v>
      </c>
      <c r="K7" s="399" t="s">
        <v>654</v>
      </c>
      <c r="L7" s="399" t="s">
        <v>655</v>
      </c>
      <c r="M7" s="399" t="s">
        <v>653</v>
      </c>
      <c r="N7" s="399" t="s">
        <v>654</v>
      </c>
      <c r="O7" s="399" t="s">
        <v>655</v>
      </c>
    </row>
    <row r="8" spans="1:15" s="133" customFormat="1" ht="15">
      <c r="A8" s="135" t="s">
        <v>437</v>
      </c>
      <c r="B8" s="250"/>
      <c r="C8" s="564">
        <v>206562.5</v>
      </c>
      <c r="D8" s="274">
        <f>C8*$C$13/100</f>
        <v>77460.93675205938</v>
      </c>
      <c r="E8" s="274">
        <f>D8*3/100</f>
        <v>2323.8281025617816</v>
      </c>
      <c r="F8" s="527">
        <f>D8-E8</f>
        <v>75137.1086494976</v>
      </c>
      <c r="G8" s="173">
        <f>$D$8*G2</f>
        <v>38730.46837602969</v>
      </c>
      <c r="H8" s="173">
        <f>$D$8*H2</f>
        <v>23238.281025617813</v>
      </c>
      <c r="I8" s="173">
        <f>$D$8*I2</f>
        <v>15492.187350411878</v>
      </c>
      <c r="J8" s="576">
        <f>$F$8*G2</f>
        <v>37568.5543247488</v>
      </c>
      <c r="K8" s="576">
        <f>$F$8*H2</f>
        <v>22541.13259484928</v>
      </c>
      <c r="L8" s="576">
        <f>$F$8*I2</f>
        <v>15027.42172989952</v>
      </c>
      <c r="M8" s="173">
        <f>G8*3/100</f>
        <v>1161.9140512808908</v>
      </c>
      <c r="N8" s="173">
        <f aca="true" t="shared" si="0" ref="N8:O10">H8*3/100</f>
        <v>697.1484307685344</v>
      </c>
      <c r="O8" s="173">
        <f t="shared" si="0"/>
        <v>464.76562051235635</v>
      </c>
    </row>
    <row r="9" spans="1:15" s="133" customFormat="1" ht="15">
      <c r="A9" s="135" t="s">
        <v>436</v>
      </c>
      <c r="B9" s="250"/>
      <c r="C9" s="274">
        <v>341062.5</v>
      </c>
      <c r="D9" s="274">
        <f>C9*$C$13/100</f>
        <v>127898.43626504933</v>
      </c>
      <c r="E9" s="274">
        <f>D9*3/100</f>
        <v>3836.95308795148</v>
      </c>
      <c r="F9" s="527">
        <f>D9-E9</f>
        <v>124061.48317709785</v>
      </c>
      <c r="G9" s="173">
        <f>$D$9*G2</f>
        <v>63949.218132524664</v>
      </c>
      <c r="H9" s="173">
        <f>$D$9*H2</f>
        <v>38369.530879514794</v>
      </c>
      <c r="I9" s="173">
        <f>$D$9*I2</f>
        <v>25579.687253009866</v>
      </c>
      <c r="J9" s="173">
        <f>$F$9*G2</f>
        <v>62030.741588548924</v>
      </c>
      <c r="K9" s="173">
        <f>$F$9*H2</f>
        <v>37218.44495312935</v>
      </c>
      <c r="L9" s="173">
        <f>$F$9*I2</f>
        <v>24812.29663541957</v>
      </c>
      <c r="M9" s="173">
        <f>G9*3/100</f>
        <v>1918.47654397574</v>
      </c>
      <c r="N9" s="173">
        <f t="shared" si="0"/>
        <v>1151.0859263854438</v>
      </c>
      <c r="O9" s="173">
        <f t="shared" si="0"/>
        <v>767.3906175902961</v>
      </c>
    </row>
    <row r="10" spans="1:15" s="133" customFormat="1" ht="15">
      <c r="A10" s="135" t="s">
        <v>312</v>
      </c>
      <c r="B10" s="250"/>
      <c r="C10" s="274">
        <v>142812.5</v>
      </c>
      <c r="D10" s="274">
        <f>C10*$C$13/100</f>
        <v>53554.68698289129</v>
      </c>
      <c r="E10" s="274">
        <f>D10*3/100</f>
        <v>1606.6406094867386</v>
      </c>
      <c r="F10" s="527">
        <f>D10-E10</f>
        <v>51948.04637340455</v>
      </c>
      <c r="G10" s="173">
        <f>$D$10*G2</f>
        <v>26777.343491445645</v>
      </c>
      <c r="H10" s="173">
        <f>$D$10*H2</f>
        <v>16066.406094867387</v>
      </c>
      <c r="I10" s="173">
        <f>$D$10*I2</f>
        <v>10710.937396578258</v>
      </c>
      <c r="J10" s="173">
        <f>$F$10*G2</f>
        <v>25974.023186702274</v>
      </c>
      <c r="K10" s="173">
        <f>$F$10*H2</f>
        <v>15584.413912021364</v>
      </c>
      <c r="L10" s="173">
        <f>$F$10*I2</f>
        <v>10389.60927468091</v>
      </c>
      <c r="M10" s="173">
        <f>G10*3/100</f>
        <v>803.3203047433693</v>
      </c>
      <c r="N10" s="173">
        <f t="shared" si="0"/>
        <v>481.9921828460216</v>
      </c>
      <c r="O10" s="173">
        <f t="shared" si="0"/>
        <v>321.3281218973477</v>
      </c>
    </row>
    <row r="11" spans="1:15" s="133" customFormat="1" ht="15">
      <c r="A11" s="135" t="s">
        <v>439</v>
      </c>
      <c r="B11" s="250"/>
      <c r="C11" s="274">
        <f>SUM(C8:C10)</f>
        <v>690437.5</v>
      </c>
      <c r="D11" s="274">
        <f>SUM(D8:D10)</f>
        <v>258914.06</v>
      </c>
      <c r="E11" s="274">
        <f>SUM(E8:E10)</f>
        <v>7767.421800000001</v>
      </c>
      <c r="F11" s="527">
        <f>D11-E11</f>
        <v>251146.6382</v>
      </c>
      <c r="G11" s="527">
        <f aca="true" t="shared" si="1" ref="G11:L11">SUM(G8:G10)</f>
        <v>129457.03</v>
      </c>
      <c r="H11" s="527">
        <f t="shared" si="1"/>
        <v>77674.218</v>
      </c>
      <c r="I11" s="527">
        <f t="shared" si="1"/>
        <v>51782.812000000005</v>
      </c>
      <c r="J11" s="528">
        <f t="shared" si="1"/>
        <v>125573.3191</v>
      </c>
      <c r="K11" s="528">
        <f t="shared" si="1"/>
        <v>75343.99145999999</v>
      </c>
      <c r="L11" s="528">
        <f t="shared" si="1"/>
        <v>50229.327639999996</v>
      </c>
      <c r="M11" s="573">
        <f>SUM(M8:M10)</f>
        <v>3883.7109000000005</v>
      </c>
      <c r="N11" s="573">
        <f>SUM(N8:N10)</f>
        <v>2330.2265399999997</v>
      </c>
      <c r="O11" s="573">
        <f>SUM(O8:O10)</f>
        <v>1553.4843600000002</v>
      </c>
    </row>
    <row r="12" spans="5:6" s="133" customFormat="1" ht="12.75">
      <c r="E12" s="403"/>
      <c r="F12" s="403"/>
    </row>
    <row r="13" spans="1:9" s="133" customFormat="1" ht="12.75">
      <c r="A13" s="85" t="s">
        <v>441</v>
      </c>
      <c r="B13" s="529">
        <v>258914.06</v>
      </c>
      <c r="C13" s="530">
        <f>B13*100/C11</f>
        <v>37.49999963791075</v>
      </c>
      <c r="E13" s="403"/>
      <c r="F13" s="403"/>
      <c r="G13" s="170">
        <f>(G8*3/100)</f>
        <v>1161.9140512808908</v>
      </c>
      <c r="H13" s="170">
        <f>H8-K8</f>
        <v>697.1484307685314</v>
      </c>
      <c r="I13" s="170">
        <f>I8-L8</f>
        <v>464.7656205123567</v>
      </c>
    </row>
    <row r="14" ht="12.75">
      <c r="A14" s="421">
        <v>42653</v>
      </c>
    </row>
    <row r="17" ht="20.25">
      <c r="A17" s="578" t="s">
        <v>448</v>
      </c>
    </row>
    <row r="18" ht="15">
      <c r="A18" s="531"/>
    </row>
    <row r="19" spans="1:15" ht="12.75">
      <c r="A19" t="s">
        <v>656</v>
      </c>
      <c r="G19" s="624" t="s">
        <v>651</v>
      </c>
      <c r="H19" s="625"/>
      <c r="I19" s="626"/>
      <c r="J19" s="624" t="s">
        <v>652</v>
      </c>
      <c r="K19" s="625"/>
      <c r="L19" s="626"/>
      <c r="M19" s="571">
        <v>0.03</v>
      </c>
      <c r="N19" s="250"/>
      <c r="O19" s="250"/>
    </row>
    <row r="20" spans="1:15" s="133" customFormat="1" ht="12.75">
      <c r="A20" s="399"/>
      <c r="B20" s="399"/>
      <c r="C20" s="399" t="s">
        <v>440</v>
      </c>
      <c r="D20" s="399" t="s">
        <v>442</v>
      </c>
      <c r="E20" s="404" t="s">
        <v>443</v>
      </c>
      <c r="F20" s="404" t="s">
        <v>444</v>
      </c>
      <c r="G20" s="399" t="s">
        <v>653</v>
      </c>
      <c r="H20" s="399" t="s">
        <v>654</v>
      </c>
      <c r="I20" s="399" t="s">
        <v>655</v>
      </c>
      <c r="J20" s="399" t="s">
        <v>653</v>
      </c>
      <c r="K20" s="399" t="s">
        <v>654</v>
      </c>
      <c r="L20" s="399" t="s">
        <v>655</v>
      </c>
      <c r="M20" s="399" t="s">
        <v>653</v>
      </c>
      <c r="N20" s="399" t="s">
        <v>654</v>
      </c>
      <c r="O20" s="399" t="s">
        <v>655</v>
      </c>
    </row>
    <row r="21" spans="1:15" s="133" customFormat="1" ht="15">
      <c r="A21" s="135" t="s">
        <v>437</v>
      </c>
      <c r="B21" s="250"/>
      <c r="C21" s="532">
        <v>66562.5</v>
      </c>
      <c r="D21" s="532">
        <f>C21*$C$26/100</f>
        <v>24960.9375</v>
      </c>
      <c r="E21" s="532">
        <f>D21*3/100</f>
        <v>748.828125</v>
      </c>
      <c r="F21" s="533">
        <f>D21-E21</f>
        <v>24212.109375</v>
      </c>
      <c r="G21" s="173">
        <f>$D$21*G3</f>
        <v>17472.65625</v>
      </c>
      <c r="H21" s="173">
        <f>$D$21*H3</f>
        <v>7488.28125</v>
      </c>
      <c r="I21" s="173">
        <f>$D$21*I3</f>
        <v>0</v>
      </c>
      <c r="J21" s="576">
        <f>$F$21*G3</f>
        <v>16948.4765625</v>
      </c>
      <c r="K21" s="173">
        <f>$F$21*H3</f>
        <v>7263.6328125</v>
      </c>
      <c r="L21" s="173">
        <f>$F$21*I3</f>
        <v>0</v>
      </c>
      <c r="M21" s="173">
        <f aca="true" t="shared" si="2" ref="M21:O23">G21*3/100</f>
        <v>524.1796875</v>
      </c>
      <c r="N21" s="173">
        <f t="shared" si="2"/>
        <v>224.6484375</v>
      </c>
      <c r="O21" s="173">
        <f t="shared" si="2"/>
        <v>0</v>
      </c>
    </row>
    <row r="22" spans="1:15" s="133" customFormat="1" ht="15">
      <c r="A22" s="135" t="s">
        <v>436</v>
      </c>
      <c r="B22" s="250"/>
      <c r="C22" s="532">
        <v>60375</v>
      </c>
      <c r="D22" s="532">
        <f>C22*$C$26/100</f>
        <v>22640.625</v>
      </c>
      <c r="E22" s="532">
        <f>D22*3/100</f>
        <v>679.21875</v>
      </c>
      <c r="F22" s="533">
        <f>D22-E22</f>
        <v>21961.40625</v>
      </c>
      <c r="G22" s="173">
        <f>$D$22*G3</f>
        <v>15848.437499999998</v>
      </c>
      <c r="H22" s="173">
        <f>$D$22*H3</f>
        <v>6792.1875</v>
      </c>
      <c r="I22" s="173">
        <f>$D$22*I3</f>
        <v>0</v>
      </c>
      <c r="J22" s="173">
        <f>$F$22*G3</f>
        <v>15372.984374999998</v>
      </c>
      <c r="K22" s="173">
        <f>$F$22*H3</f>
        <v>6588.421875</v>
      </c>
      <c r="L22" s="173">
        <f>$F$22*L3</f>
        <v>0</v>
      </c>
      <c r="M22" s="173">
        <f t="shared" si="2"/>
        <v>475.45312499999994</v>
      </c>
      <c r="N22" s="173">
        <f t="shared" si="2"/>
        <v>203.765625</v>
      </c>
      <c r="O22" s="173">
        <f t="shared" si="2"/>
        <v>0</v>
      </c>
    </row>
    <row r="23" spans="1:15" s="133" customFormat="1" ht="15">
      <c r="A23" s="135" t="s">
        <v>312</v>
      </c>
      <c r="B23" s="250"/>
      <c r="C23" s="532">
        <v>195562.5</v>
      </c>
      <c r="D23" s="532">
        <f>C23*$C$26/100</f>
        <v>73335.9375</v>
      </c>
      <c r="E23" s="532">
        <f>D23*3/100</f>
        <v>2200.078125</v>
      </c>
      <c r="F23" s="533">
        <f>D23-E23</f>
        <v>71135.859375</v>
      </c>
      <c r="G23" s="173">
        <f>$D$23*G2</f>
        <v>36667.96875</v>
      </c>
      <c r="H23" s="173">
        <f>$D$23*H2</f>
        <v>22000.78125</v>
      </c>
      <c r="I23" s="173">
        <f>$D$23*I2</f>
        <v>14667.1875</v>
      </c>
      <c r="J23" s="173">
        <f>$F$23*G2</f>
        <v>35567.9296875</v>
      </c>
      <c r="K23" s="173">
        <f>$F$23*H2</f>
        <v>21340.7578125</v>
      </c>
      <c r="L23" s="173">
        <f>$F$23*I2</f>
        <v>14227.171875</v>
      </c>
      <c r="M23" s="173">
        <f t="shared" si="2"/>
        <v>1100.0390625</v>
      </c>
      <c r="N23" s="173">
        <f t="shared" si="2"/>
        <v>660.0234375</v>
      </c>
      <c r="O23" s="173">
        <f t="shared" si="2"/>
        <v>440.015625</v>
      </c>
    </row>
    <row r="24" spans="1:15" s="133" customFormat="1" ht="15">
      <c r="A24" s="135" t="s">
        <v>439</v>
      </c>
      <c r="B24" s="250"/>
      <c r="C24" s="532">
        <f>SUM(C21:C23)</f>
        <v>322500</v>
      </c>
      <c r="D24" s="532">
        <f>SUM(D21:D23)</f>
        <v>120937.5</v>
      </c>
      <c r="E24" s="532">
        <f>SUM(E21:E23)</f>
        <v>3628.125</v>
      </c>
      <c r="F24" s="533">
        <f>D24-E24</f>
        <v>117309.375</v>
      </c>
      <c r="G24" s="528">
        <f aca="true" t="shared" si="3" ref="G24:L24">SUM(G21:G23)</f>
        <v>69989.0625</v>
      </c>
      <c r="H24" s="528">
        <f t="shared" si="3"/>
        <v>36281.25</v>
      </c>
      <c r="I24" s="528">
        <f t="shared" si="3"/>
        <v>14667.1875</v>
      </c>
      <c r="J24" s="528">
        <f t="shared" si="3"/>
        <v>67889.390625</v>
      </c>
      <c r="K24" s="528">
        <f t="shared" si="3"/>
        <v>35192.8125</v>
      </c>
      <c r="L24" s="528">
        <f t="shared" si="3"/>
        <v>14227.171875</v>
      </c>
      <c r="M24" s="573">
        <f>SUM(M21:M23)</f>
        <v>2099.671875</v>
      </c>
      <c r="N24" s="573">
        <f>SUM(N21:N23)</f>
        <v>1088.4375</v>
      </c>
      <c r="O24" s="573">
        <f>SUM(O21:O23)</f>
        <v>440.015625</v>
      </c>
    </row>
    <row r="25" spans="5:6" s="133" customFormat="1" ht="12.75">
      <c r="E25" s="403"/>
      <c r="F25" s="403"/>
    </row>
    <row r="26" spans="1:8" s="133" customFormat="1" ht="12.75">
      <c r="A26" s="85" t="s">
        <v>441</v>
      </c>
      <c r="B26" s="529">
        <v>120937.5</v>
      </c>
      <c r="C26" s="530">
        <f>B26*100/C24</f>
        <v>37.5</v>
      </c>
      <c r="E26" s="403"/>
      <c r="F26" s="403"/>
      <c r="G26" s="170">
        <f>G21*3/100</f>
        <v>524.1796875</v>
      </c>
      <c r="H26" s="170"/>
    </row>
    <row r="27" ht="12.75">
      <c r="A27" s="421">
        <v>42683</v>
      </c>
    </row>
    <row r="31" spans="1:15" ht="12.75">
      <c r="A31" t="s">
        <v>657</v>
      </c>
      <c r="G31" s="624" t="s">
        <v>651</v>
      </c>
      <c r="H31" s="625"/>
      <c r="I31" s="626"/>
      <c r="J31" s="624" t="s">
        <v>652</v>
      </c>
      <c r="K31" s="625"/>
      <c r="L31" s="626"/>
      <c r="M31" s="571">
        <v>0.03</v>
      </c>
      <c r="N31" s="250"/>
      <c r="O31" s="250"/>
    </row>
    <row r="32" spans="1:15" s="133" customFormat="1" ht="12.75">
      <c r="A32" s="399"/>
      <c r="B32" s="399"/>
      <c r="C32" s="399" t="s">
        <v>440</v>
      </c>
      <c r="D32" s="399" t="s">
        <v>442</v>
      </c>
      <c r="E32" s="404" t="s">
        <v>443</v>
      </c>
      <c r="F32" s="404" t="s">
        <v>444</v>
      </c>
      <c r="G32" s="399" t="s">
        <v>653</v>
      </c>
      <c r="H32" s="399" t="s">
        <v>654</v>
      </c>
      <c r="I32" s="399" t="s">
        <v>655</v>
      </c>
      <c r="J32" s="399" t="s">
        <v>653</v>
      </c>
      <c r="K32" s="399" t="s">
        <v>654</v>
      </c>
      <c r="L32" s="399" t="s">
        <v>655</v>
      </c>
      <c r="M32" s="399" t="s">
        <v>653</v>
      </c>
      <c r="N32" s="399" t="s">
        <v>654</v>
      </c>
      <c r="O32" s="399" t="s">
        <v>655</v>
      </c>
    </row>
    <row r="33" spans="1:15" s="133" customFormat="1" ht="15">
      <c r="A33" s="135" t="s">
        <v>437</v>
      </c>
      <c r="B33" s="250"/>
      <c r="C33" s="532">
        <v>66562.5</v>
      </c>
      <c r="D33" s="532">
        <f>C33*$C$26/100</f>
        <v>24960.9375</v>
      </c>
      <c r="E33" s="532">
        <f>D33*3/100</f>
        <v>748.828125</v>
      </c>
      <c r="F33" s="533">
        <f>D33-E33</f>
        <v>24212.109375</v>
      </c>
      <c r="G33" s="173">
        <f>$D$33*G3</f>
        <v>17472.65625</v>
      </c>
      <c r="H33" s="173">
        <f>$D$33*H3</f>
        <v>7488.28125</v>
      </c>
      <c r="I33" s="173">
        <f>$D$21*I3</f>
        <v>0</v>
      </c>
      <c r="J33" s="173">
        <f>$F$33*G3</f>
        <v>16948.4765625</v>
      </c>
      <c r="K33" s="173">
        <f>$F$33*H3</f>
        <v>7263.6328125</v>
      </c>
      <c r="L33" s="173">
        <f>$F$33*I3</f>
        <v>0</v>
      </c>
      <c r="M33" s="173">
        <f aca="true" t="shared" si="4" ref="M33:O35">G33*3/100</f>
        <v>524.1796875</v>
      </c>
      <c r="N33" s="173">
        <f t="shared" si="4"/>
        <v>224.6484375</v>
      </c>
      <c r="O33" s="173">
        <f t="shared" si="4"/>
        <v>0</v>
      </c>
    </row>
    <row r="34" spans="1:15" s="133" customFormat="1" ht="15">
      <c r="A34" s="135" t="s">
        <v>436</v>
      </c>
      <c r="B34" s="250"/>
      <c r="C34" s="532">
        <v>60375</v>
      </c>
      <c r="D34" s="532">
        <f>C34*$C$26/100</f>
        <v>22640.625</v>
      </c>
      <c r="E34" s="532">
        <f>D34*3/100</f>
        <v>679.21875</v>
      </c>
      <c r="F34" s="533">
        <f>D34-E34</f>
        <v>21961.40625</v>
      </c>
      <c r="G34" s="173">
        <f>$D$34*G3</f>
        <v>15848.437499999998</v>
      </c>
      <c r="H34" s="173">
        <f>$D$34*H3</f>
        <v>6792.1875</v>
      </c>
      <c r="I34" s="173">
        <f>$D$22*I3</f>
        <v>0</v>
      </c>
      <c r="J34" s="173">
        <f>$F$34*G3</f>
        <v>15372.984374999998</v>
      </c>
      <c r="K34" s="173">
        <f>$F$34*H3</f>
        <v>6588.421875</v>
      </c>
      <c r="L34" s="173">
        <f>$F$34*I3</f>
        <v>0</v>
      </c>
      <c r="M34" s="173">
        <f t="shared" si="4"/>
        <v>475.45312499999994</v>
      </c>
      <c r="N34" s="173">
        <f t="shared" si="4"/>
        <v>203.765625</v>
      </c>
      <c r="O34" s="173">
        <f t="shared" si="4"/>
        <v>0</v>
      </c>
    </row>
    <row r="35" spans="1:15" s="133" customFormat="1" ht="15">
      <c r="A35" s="135" t="s">
        <v>312</v>
      </c>
      <c r="B35" s="250"/>
      <c r="C35" s="532">
        <v>195562.5</v>
      </c>
      <c r="D35" s="532">
        <f>C35*$C$26/100</f>
        <v>73335.9375</v>
      </c>
      <c r="E35" s="532">
        <f>D35*3/100</f>
        <v>2200.078125</v>
      </c>
      <c r="F35" s="533">
        <f>D35-E35</f>
        <v>71135.859375</v>
      </c>
      <c r="G35" s="173">
        <f>$D$35*G2</f>
        <v>36667.96875</v>
      </c>
      <c r="H35" s="173">
        <f>$D$35*H2</f>
        <v>22000.78125</v>
      </c>
      <c r="I35" s="173">
        <f>$D$35*I2</f>
        <v>14667.1875</v>
      </c>
      <c r="J35" s="173">
        <f>$F$35*G2</f>
        <v>35567.9296875</v>
      </c>
      <c r="K35" s="173">
        <f>$F$35*H2</f>
        <v>21340.7578125</v>
      </c>
      <c r="L35" s="173">
        <f>$F$35*I2</f>
        <v>14227.171875</v>
      </c>
      <c r="M35" s="173">
        <f t="shared" si="4"/>
        <v>1100.0390625</v>
      </c>
      <c r="N35" s="173">
        <f t="shared" si="4"/>
        <v>660.0234375</v>
      </c>
      <c r="O35" s="173">
        <f t="shared" si="4"/>
        <v>440.015625</v>
      </c>
    </row>
    <row r="36" spans="1:15" s="133" customFormat="1" ht="15">
      <c r="A36" s="135" t="s">
        <v>439</v>
      </c>
      <c r="B36" s="250"/>
      <c r="C36" s="532">
        <f>SUM(C33:C35)</f>
        <v>322500</v>
      </c>
      <c r="D36" s="532">
        <f>SUM(D33:D35)</f>
        <v>120937.5</v>
      </c>
      <c r="E36" s="532">
        <f>SUM(E33:E35)</f>
        <v>3628.125</v>
      </c>
      <c r="F36" s="533">
        <f>D36-E36</f>
        <v>117309.375</v>
      </c>
      <c r="G36" s="528">
        <f aca="true" t="shared" si="5" ref="G36:L36">SUM(G33:G35)</f>
        <v>69989.0625</v>
      </c>
      <c r="H36" s="528">
        <f t="shared" si="5"/>
        <v>36281.25</v>
      </c>
      <c r="I36" s="528">
        <f t="shared" si="5"/>
        <v>14667.1875</v>
      </c>
      <c r="J36" s="528">
        <f t="shared" si="5"/>
        <v>67889.390625</v>
      </c>
      <c r="K36" s="528">
        <f t="shared" si="5"/>
        <v>35192.8125</v>
      </c>
      <c r="L36" s="528">
        <f t="shared" si="5"/>
        <v>14227.171875</v>
      </c>
      <c r="M36" s="573">
        <f>SUM(M33:M35)</f>
        <v>2099.671875</v>
      </c>
      <c r="N36" s="573">
        <f>SUM(N33:N35)</f>
        <v>1088.4375</v>
      </c>
      <c r="O36" s="573">
        <f>SUM(O33:O35)</f>
        <v>440.015625</v>
      </c>
    </row>
    <row r="37" spans="5:6" s="133" customFormat="1" ht="12.75">
      <c r="E37" s="403"/>
      <c r="F37" s="403"/>
    </row>
    <row r="38" spans="1:8" s="133" customFormat="1" ht="12.75">
      <c r="A38" s="85" t="s">
        <v>441</v>
      </c>
      <c r="B38" s="529">
        <v>120937.5</v>
      </c>
      <c r="C38" s="530">
        <f>B38*100/C36</f>
        <v>37.5</v>
      </c>
      <c r="E38" s="403"/>
      <c r="F38" s="403"/>
      <c r="G38" s="170">
        <f>G33*3/100</f>
        <v>524.1796875</v>
      </c>
      <c r="H38" s="170"/>
    </row>
    <row r="39" ht="12.75">
      <c r="A39" s="421">
        <v>43019</v>
      </c>
    </row>
    <row r="44" spans="1:6" s="133" customFormat="1" ht="20.25">
      <c r="A44" s="578" t="s">
        <v>492</v>
      </c>
      <c r="E44" s="403"/>
      <c r="F44" s="403"/>
    </row>
    <row r="45" spans="5:15" s="133" customFormat="1" ht="12.75">
      <c r="E45" s="403"/>
      <c r="F45" s="403"/>
      <c r="G45" s="624" t="s">
        <v>651</v>
      </c>
      <c r="H45" s="625"/>
      <c r="I45" s="626"/>
      <c r="J45" s="624" t="s">
        <v>652</v>
      </c>
      <c r="K45" s="625"/>
      <c r="L45" s="626"/>
      <c r="M45" s="627">
        <v>0.03</v>
      </c>
      <c r="N45" s="628"/>
      <c r="O45" s="629"/>
    </row>
    <row r="46" spans="1:15" s="133" customFormat="1" ht="12.75">
      <c r="A46" s="399"/>
      <c r="B46" s="399"/>
      <c r="C46" s="399" t="s">
        <v>440</v>
      </c>
      <c r="D46" s="399" t="s">
        <v>442</v>
      </c>
      <c r="E46" s="404" t="s">
        <v>443</v>
      </c>
      <c r="F46" s="404" t="s">
        <v>444</v>
      </c>
      <c r="G46" s="399" t="s">
        <v>653</v>
      </c>
      <c r="H46" s="399" t="s">
        <v>654</v>
      </c>
      <c r="I46" s="399" t="s">
        <v>655</v>
      </c>
      <c r="J46" s="399" t="s">
        <v>653</v>
      </c>
      <c r="K46" s="399" t="s">
        <v>654</v>
      </c>
      <c r="L46" s="399" t="s">
        <v>655</v>
      </c>
      <c r="M46" s="399" t="s">
        <v>653</v>
      </c>
      <c r="N46" s="399" t="s">
        <v>654</v>
      </c>
      <c r="O46" s="399" t="s">
        <v>655</v>
      </c>
    </row>
    <row r="47" spans="1:15" s="133" customFormat="1" ht="15">
      <c r="A47" s="135" t="s">
        <v>437</v>
      </c>
      <c r="B47" s="250"/>
      <c r="C47" s="532">
        <v>184375</v>
      </c>
      <c r="D47" s="532">
        <f>C47*$C$53/100</f>
        <v>92187.5</v>
      </c>
      <c r="E47" s="532">
        <f>D47*3/100</f>
        <v>2765.625</v>
      </c>
      <c r="F47" s="533">
        <f>D47-E47</f>
        <v>89421.875</v>
      </c>
      <c r="G47" s="532">
        <f>$D$47*G2</f>
        <v>46093.75</v>
      </c>
      <c r="H47" s="532">
        <f>$D$47*H2</f>
        <v>27656.25</v>
      </c>
      <c r="I47" s="532">
        <f>$D$47*I2</f>
        <v>18437.5</v>
      </c>
      <c r="J47" s="441">
        <f>$F$47*G2</f>
        <v>44710.9375</v>
      </c>
      <c r="K47" s="532">
        <f>$F$47*H2</f>
        <v>26826.5625</v>
      </c>
      <c r="L47" s="532">
        <f>$F$47*I2</f>
        <v>17884.375</v>
      </c>
      <c r="M47" s="173">
        <f aca="true" t="shared" si="6" ref="M47:O49">G47*3/100</f>
        <v>1382.8125</v>
      </c>
      <c r="N47" s="173">
        <f t="shared" si="6"/>
        <v>829.6875</v>
      </c>
      <c r="O47" s="173">
        <f t="shared" si="6"/>
        <v>553.125</v>
      </c>
    </row>
    <row r="48" spans="1:15" s="133" customFormat="1" ht="15">
      <c r="A48" s="135" t="s">
        <v>436</v>
      </c>
      <c r="B48" s="250"/>
      <c r="C48" s="532">
        <v>77812.5</v>
      </c>
      <c r="D48" s="532">
        <f>C48*$C$53/100</f>
        <v>38906.25</v>
      </c>
      <c r="E48" s="532">
        <f>D48*3/100</f>
        <v>1167.1875</v>
      </c>
      <c r="F48" s="533">
        <f>D48-E48</f>
        <v>37739.0625</v>
      </c>
      <c r="G48" s="532">
        <f>$D$48*G3</f>
        <v>27234.375</v>
      </c>
      <c r="H48" s="532">
        <f>$D$48*H3</f>
        <v>11671.875</v>
      </c>
      <c r="I48" s="532">
        <f>$D$48*I3</f>
        <v>0</v>
      </c>
      <c r="J48" s="532">
        <f>$F$48*G3</f>
        <v>26417.34375</v>
      </c>
      <c r="K48" s="532">
        <f>$F$48*H3</f>
        <v>11321.71875</v>
      </c>
      <c r="L48" s="532">
        <f>$F$48*I3</f>
        <v>0</v>
      </c>
      <c r="M48" s="173">
        <f t="shared" si="6"/>
        <v>817.03125</v>
      </c>
      <c r="N48" s="173">
        <f t="shared" si="6"/>
        <v>350.15625</v>
      </c>
      <c r="O48" s="173">
        <f t="shared" si="6"/>
        <v>0</v>
      </c>
    </row>
    <row r="49" spans="1:15" s="133" customFormat="1" ht="15">
      <c r="A49" s="135" t="s">
        <v>312</v>
      </c>
      <c r="B49" s="250"/>
      <c r="C49" s="532">
        <v>69687.5</v>
      </c>
      <c r="D49" s="532">
        <f>C49*$C$53/100</f>
        <v>34843.75</v>
      </c>
      <c r="E49" s="532">
        <f>D49*3/100</f>
        <v>1045.3125</v>
      </c>
      <c r="F49" s="533">
        <f>D49-E49</f>
        <v>33798.4375</v>
      </c>
      <c r="G49" s="532">
        <f>$D$49*G3</f>
        <v>24390.625</v>
      </c>
      <c r="H49" s="532">
        <f>$D$49*H3</f>
        <v>10453.125</v>
      </c>
      <c r="I49" s="532">
        <f>$D$49*I3</f>
        <v>0</v>
      </c>
      <c r="J49" s="532">
        <f>$F$49*G3</f>
        <v>23658.90625</v>
      </c>
      <c r="K49" s="532">
        <f>$F$49*H3</f>
        <v>10139.53125</v>
      </c>
      <c r="L49" s="532">
        <f>$F$49*I3</f>
        <v>0</v>
      </c>
      <c r="M49" s="173">
        <f t="shared" si="6"/>
        <v>731.71875</v>
      </c>
      <c r="N49" s="173">
        <f t="shared" si="6"/>
        <v>313.59375</v>
      </c>
      <c r="O49" s="173">
        <f t="shared" si="6"/>
        <v>0</v>
      </c>
    </row>
    <row r="50" spans="1:15" s="133" customFormat="1" ht="15">
      <c r="A50" s="135" t="s">
        <v>439</v>
      </c>
      <c r="B50" s="250"/>
      <c r="C50" s="532">
        <f>SUM(C47:C49)</f>
        <v>331875</v>
      </c>
      <c r="D50" s="532">
        <f>SUM(D47:D49)</f>
        <v>165937.5</v>
      </c>
      <c r="E50" s="532">
        <f>SUM(E47:E49)</f>
        <v>4978.125</v>
      </c>
      <c r="F50" s="533">
        <f>D50-E50</f>
        <v>160959.375</v>
      </c>
      <c r="G50" s="533">
        <f aca="true" t="shared" si="7" ref="G50:L50">SUM(G47:G49)</f>
        <v>97718.75</v>
      </c>
      <c r="H50" s="533">
        <f t="shared" si="7"/>
        <v>49781.25</v>
      </c>
      <c r="I50" s="533">
        <f t="shared" si="7"/>
        <v>18437.5</v>
      </c>
      <c r="J50" s="533">
        <f t="shared" si="7"/>
        <v>94787.1875</v>
      </c>
      <c r="K50" s="533">
        <f t="shared" si="7"/>
        <v>48287.8125</v>
      </c>
      <c r="L50" s="533">
        <f t="shared" si="7"/>
        <v>17884.375</v>
      </c>
      <c r="M50" s="573">
        <f>SUM(M47:M49)</f>
        <v>2931.5625</v>
      </c>
      <c r="N50" s="573">
        <f>SUM(N47:N49)</f>
        <v>1493.4375</v>
      </c>
      <c r="O50" s="573">
        <f>SUM(O47:O49)</f>
        <v>553.125</v>
      </c>
    </row>
    <row r="51" spans="5:6" s="133" customFormat="1" ht="12.75">
      <c r="E51" s="403"/>
      <c r="F51" s="403"/>
    </row>
    <row r="52" spans="5:8" s="133" customFormat="1" ht="12.75">
      <c r="E52" s="403"/>
      <c r="F52" s="403"/>
      <c r="G52" s="534">
        <f>G47*3/100</f>
        <v>1382.8125</v>
      </c>
      <c r="H52" s="534"/>
    </row>
    <row r="53" spans="1:6" s="133" customFormat="1" ht="12.75">
      <c r="A53" s="85" t="s">
        <v>441</v>
      </c>
      <c r="B53" s="529">
        <v>165937.5</v>
      </c>
      <c r="C53" s="530">
        <f>B53*100/C50</f>
        <v>50</v>
      </c>
      <c r="E53" s="403"/>
      <c r="F53" s="403"/>
    </row>
    <row r="54" spans="1:8" ht="12.75">
      <c r="A54" s="421">
        <v>42752</v>
      </c>
      <c r="G54" s="51"/>
      <c r="H54" s="51"/>
    </row>
    <row r="58" ht="20.25">
      <c r="A58" s="578" t="s">
        <v>658</v>
      </c>
    </row>
    <row r="59" spans="5:15" s="133" customFormat="1" ht="12.75">
      <c r="E59" s="403"/>
      <c r="F59" s="403"/>
      <c r="G59" s="624" t="s">
        <v>651</v>
      </c>
      <c r="H59" s="625"/>
      <c r="I59" s="626"/>
      <c r="J59" s="624" t="s">
        <v>652</v>
      </c>
      <c r="K59" s="625"/>
      <c r="L59" s="626"/>
      <c r="M59" s="627">
        <v>0.03</v>
      </c>
      <c r="N59" s="628"/>
      <c r="O59" s="629"/>
    </row>
    <row r="60" spans="1:15" s="133" customFormat="1" ht="12.75">
      <c r="A60" s="399"/>
      <c r="B60" s="399"/>
      <c r="C60" s="399" t="s">
        <v>440</v>
      </c>
      <c r="D60" s="399" t="s">
        <v>442</v>
      </c>
      <c r="E60" s="404" t="s">
        <v>443</v>
      </c>
      <c r="F60" s="404" t="s">
        <v>444</v>
      </c>
      <c r="G60" s="399" t="s">
        <v>653</v>
      </c>
      <c r="H60" s="399" t="s">
        <v>654</v>
      </c>
      <c r="I60" s="399" t="s">
        <v>655</v>
      </c>
      <c r="J60" s="399" t="s">
        <v>653</v>
      </c>
      <c r="K60" s="399" t="s">
        <v>654</v>
      </c>
      <c r="L60" s="399" t="s">
        <v>655</v>
      </c>
      <c r="M60" s="399" t="s">
        <v>653</v>
      </c>
      <c r="N60" s="399" t="s">
        <v>654</v>
      </c>
      <c r="O60" s="399" t="s">
        <v>655</v>
      </c>
    </row>
    <row r="61" spans="1:15" s="133" customFormat="1" ht="15">
      <c r="A61" s="133" t="s">
        <v>480</v>
      </c>
      <c r="B61" s="250"/>
      <c r="C61" s="532">
        <v>45000</v>
      </c>
      <c r="D61" s="532">
        <f>C61*$C$68/100</f>
        <v>33750</v>
      </c>
      <c r="E61" s="532">
        <f>D61*3/100</f>
        <v>1012.5</v>
      </c>
      <c r="F61" s="533">
        <f>D61-E61</f>
        <v>32737.5</v>
      </c>
      <c r="G61" s="532">
        <f>$D$61*G3</f>
        <v>23625</v>
      </c>
      <c r="H61" s="532">
        <f>$D$61*H3</f>
        <v>10125</v>
      </c>
      <c r="I61" s="532">
        <f>$D$61*I3</f>
        <v>0</v>
      </c>
      <c r="J61" s="532">
        <f>$F$61*G3</f>
        <v>22916.25</v>
      </c>
      <c r="K61" s="532">
        <f>$F$61*H3</f>
        <v>9821.25</v>
      </c>
      <c r="L61" s="532">
        <f>$F$61*I3</f>
        <v>0</v>
      </c>
      <c r="M61" s="250">
        <f>G61*3/100</f>
        <v>708.75</v>
      </c>
      <c r="N61" s="250">
        <f aca="true" t="shared" si="8" ref="N61:O64">H61*3/100</f>
        <v>303.75</v>
      </c>
      <c r="O61" s="250">
        <f t="shared" si="8"/>
        <v>0</v>
      </c>
    </row>
    <row r="62" spans="1:15" s="133" customFormat="1" ht="15">
      <c r="A62" s="135" t="s">
        <v>436</v>
      </c>
      <c r="B62" s="250"/>
      <c r="C62" s="532">
        <v>61250</v>
      </c>
      <c r="D62" s="532">
        <f>C62*$C$68/100</f>
        <v>45937.5</v>
      </c>
      <c r="E62" s="532">
        <f>D62*3/100</f>
        <v>1378.125</v>
      </c>
      <c r="F62" s="533">
        <f>D62-E62</f>
        <v>44559.375</v>
      </c>
      <c r="G62" s="532">
        <f>$D$62*G3</f>
        <v>32156.249999999996</v>
      </c>
      <c r="H62" s="532">
        <f>$D$62*H3</f>
        <v>13781.25</v>
      </c>
      <c r="I62" s="532">
        <f>$D$62*I3</f>
        <v>0</v>
      </c>
      <c r="J62" s="532">
        <f>$F$62*G3</f>
        <v>31191.562499999996</v>
      </c>
      <c r="K62" s="532">
        <f>$F$62*H3</f>
        <v>13367.8125</v>
      </c>
      <c r="L62" s="532"/>
      <c r="M62" s="250">
        <f>G62*3/100</f>
        <v>964.6874999999999</v>
      </c>
      <c r="N62" s="250">
        <f t="shared" si="8"/>
        <v>413.4375</v>
      </c>
      <c r="O62" s="250">
        <f t="shared" si="8"/>
        <v>0</v>
      </c>
    </row>
    <row r="63" spans="1:15" s="133" customFormat="1" ht="15">
      <c r="A63" s="135" t="s">
        <v>437</v>
      </c>
      <c r="B63" s="250"/>
      <c r="C63" s="532">
        <v>296250</v>
      </c>
      <c r="D63" s="532">
        <f>C63*$C$68/100</f>
        <v>222187.5</v>
      </c>
      <c r="E63" s="532">
        <f>D63*3/100</f>
        <v>6665.625</v>
      </c>
      <c r="F63" s="533">
        <f>D63-E63</f>
        <v>215521.875</v>
      </c>
      <c r="G63" s="532">
        <f>$D$63*G2</f>
        <v>111093.75</v>
      </c>
      <c r="H63" s="532">
        <f>$D$63*H2</f>
        <v>66656.25</v>
      </c>
      <c r="I63" s="532">
        <f>$D$63*I2</f>
        <v>44437.5</v>
      </c>
      <c r="J63" s="441">
        <f>$F$63*G2</f>
        <v>107760.9375</v>
      </c>
      <c r="K63" s="532">
        <f>$F$63*H2</f>
        <v>64656.5625</v>
      </c>
      <c r="L63" s="532">
        <f>$F$63*I2</f>
        <v>43104.375</v>
      </c>
      <c r="M63" s="250">
        <f>G63*3/100</f>
        <v>3332.8125</v>
      </c>
      <c r="N63" s="250">
        <f t="shared" si="8"/>
        <v>1999.6875</v>
      </c>
      <c r="O63" s="250">
        <f t="shared" si="8"/>
        <v>1333.125</v>
      </c>
    </row>
    <row r="64" spans="1:15" s="133" customFormat="1" ht="15">
      <c r="A64" s="135" t="s">
        <v>312</v>
      </c>
      <c r="B64" s="250"/>
      <c r="C64" s="532">
        <v>178750</v>
      </c>
      <c r="D64" s="532">
        <f>C64*$C$68/100</f>
        <v>134062.5</v>
      </c>
      <c r="E64" s="532">
        <f>D64*3/100</f>
        <v>4021.875</v>
      </c>
      <c r="F64" s="533">
        <f>D64-E64</f>
        <v>130040.625</v>
      </c>
      <c r="G64" s="441">
        <f>$D$64*G2</f>
        <v>67031.25</v>
      </c>
      <c r="H64" s="532">
        <f>$D$64*H2</f>
        <v>40218.75</v>
      </c>
      <c r="I64" s="532">
        <f>$D$64*I2</f>
        <v>26812.5</v>
      </c>
      <c r="J64" s="532">
        <f>$F$64*G2</f>
        <v>65020.3125</v>
      </c>
      <c r="K64" s="532">
        <f>$F$64*H2</f>
        <v>39012.1875</v>
      </c>
      <c r="L64" s="532">
        <f>$F$64*I2</f>
        <v>26008.125</v>
      </c>
      <c r="M64" s="250">
        <f>G64*3/100</f>
        <v>2010.9375</v>
      </c>
      <c r="N64" s="250">
        <f t="shared" si="8"/>
        <v>1206.5625</v>
      </c>
      <c r="O64" s="250">
        <f t="shared" si="8"/>
        <v>804.375</v>
      </c>
    </row>
    <row r="65" spans="1:15" s="133" customFormat="1" ht="15">
      <c r="A65" s="135" t="s">
        <v>439</v>
      </c>
      <c r="B65" s="250"/>
      <c r="C65" s="532">
        <f>SUM(C61:C64)</f>
        <v>581250</v>
      </c>
      <c r="D65" s="532">
        <f>SUM(D61:D64)</f>
        <v>435937.5</v>
      </c>
      <c r="E65" s="532">
        <f>SUM(E61:E64)</f>
        <v>13078.125</v>
      </c>
      <c r="F65" s="533">
        <f>D65-E65</f>
        <v>422859.375</v>
      </c>
      <c r="G65" s="533">
        <f aca="true" t="shared" si="9" ref="G65:L65">SUM(G61:G64)</f>
        <v>233906.25</v>
      </c>
      <c r="H65" s="533">
        <f t="shared" si="9"/>
        <v>130781.25</v>
      </c>
      <c r="I65" s="533">
        <f t="shared" si="9"/>
        <v>71250</v>
      </c>
      <c r="J65" s="533">
        <f t="shared" si="9"/>
        <v>226889.0625</v>
      </c>
      <c r="K65" s="533">
        <f t="shared" si="9"/>
        <v>126857.8125</v>
      </c>
      <c r="L65" s="533">
        <f t="shared" si="9"/>
        <v>69112.5</v>
      </c>
      <c r="M65" s="533">
        <f>SUM(M61:M64)</f>
        <v>7017.1875</v>
      </c>
      <c r="N65" s="533">
        <f>SUM(N61:N64)</f>
        <v>3923.4375</v>
      </c>
      <c r="O65" s="533">
        <f>SUM(O61:O64)</f>
        <v>2137.5</v>
      </c>
    </row>
    <row r="66" spans="5:6" s="133" customFormat="1" ht="12.75">
      <c r="E66" s="403"/>
      <c r="F66" s="403"/>
    </row>
    <row r="67" spans="5:8" s="133" customFormat="1" ht="12.75">
      <c r="E67" s="403"/>
      <c r="F67" s="403"/>
      <c r="G67" s="534"/>
      <c r="H67" s="534"/>
    </row>
    <row r="68" spans="1:6" s="133" customFormat="1" ht="12.75">
      <c r="A68" s="85" t="s">
        <v>441</v>
      </c>
      <c r="B68" s="529">
        <v>435937.5</v>
      </c>
      <c r="C68" s="530">
        <f>B68*100/C65</f>
        <v>75</v>
      </c>
      <c r="E68" s="403"/>
      <c r="F68" s="403"/>
    </row>
    <row r="69" ht="12.75">
      <c r="A69" s="85" t="s">
        <v>725</v>
      </c>
    </row>
    <row r="70" ht="12.75">
      <c r="A70" s="85"/>
    </row>
    <row r="72" spans="1:12" ht="20.25">
      <c r="A72" s="578" t="s">
        <v>659</v>
      </c>
      <c r="B72" s="565" t="s">
        <v>726</v>
      </c>
      <c r="L72" s="133" t="s">
        <v>727</v>
      </c>
    </row>
    <row r="73" spans="7:13" ht="12.75">
      <c r="G73" s="624" t="s">
        <v>651</v>
      </c>
      <c r="H73" s="625"/>
      <c r="I73" s="626"/>
      <c r="J73" s="624" t="s">
        <v>652</v>
      </c>
      <c r="K73" s="625"/>
      <c r="L73" s="626"/>
      <c r="M73" s="574">
        <v>0.03</v>
      </c>
    </row>
    <row r="74" spans="1:13" s="133" customFormat="1" ht="12.75">
      <c r="A74" s="399"/>
      <c r="B74" s="399"/>
      <c r="C74" s="399" t="s">
        <v>440</v>
      </c>
      <c r="D74" s="399" t="s">
        <v>442</v>
      </c>
      <c r="E74" s="404" t="s">
        <v>443</v>
      </c>
      <c r="F74" s="404" t="s">
        <v>444</v>
      </c>
      <c r="G74" s="399" t="s">
        <v>653</v>
      </c>
      <c r="H74" s="399" t="s">
        <v>654</v>
      </c>
      <c r="I74" s="399" t="s">
        <v>655</v>
      </c>
      <c r="J74" s="399" t="s">
        <v>653</v>
      </c>
      <c r="K74" s="399" t="s">
        <v>654</v>
      </c>
      <c r="L74" s="399" t="s">
        <v>655</v>
      </c>
      <c r="M74" s="250"/>
    </row>
    <row r="75" spans="1:14" s="133" customFormat="1" ht="15">
      <c r="A75" s="135" t="s">
        <v>660</v>
      </c>
      <c r="B75" s="250"/>
      <c r="C75" s="532">
        <v>324393.75</v>
      </c>
      <c r="D75" s="532">
        <f>C75*$C$53/100</f>
        <v>162196.875</v>
      </c>
      <c r="E75" s="532">
        <f>D75*3/100</f>
        <v>4865.90625</v>
      </c>
      <c r="F75" s="533">
        <f>D75-E75</f>
        <v>157330.96875</v>
      </c>
      <c r="G75" s="566">
        <f>$D$75*G2</f>
        <v>81098.4375</v>
      </c>
      <c r="H75" s="532">
        <f>$D$75*H2</f>
        <v>48659.0625</v>
      </c>
      <c r="I75" s="532">
        <f>$D$75*I2</f>
        <v>32439.375</v>
      </c>
      <c r="J75" s="441">
        <f>$F$75*G2</f>
        <v>78665.484375</v>
      </c>
      <c r="K75" s="567">
        <f>$F$75*H2</f>
        <v>47199.290625</v>
      </c>
      <c r="L75" s="567">
        <f>$F$75*I2</f>
        <v>31466.193750000002</v>
      </c>
      <c r="M75" s="250">
        <f>G75*3/100</f>
        <v>2432.953125</v>
      </c>
      <c r="N75" s="534"/>
    </row>
    <row r="76" spans="1:13" s="133" customFormat="1" ht="15">
      <c r="A76" s="135" t="s">
        <v>312</v>
      </c>
      <c r="B76" s="250"/>
      <c r="C76" s="532">
        <v>46806.25</v>
      </c>
      <c r="D76" s="532">
        <f>C76*$C$53/100</f>
        <v>23403.125</v>
      </c>
      <c r="E76" s="532">
        <f>D76*3/100</f>
        <v>702.09375</v>
      </c>
      <c r="F76" s="533">
        <f>D76-E76</f>
        <v>22701.03125</v>
      </c>
      <c r="G76" s="532">
        <f>$D$76*G3</f>
        <v>16382.187499999998</v>
      </c>
      <c r="H76" s="532">
        <f>$D$76*H3</f>
        <v>7020.9375</v>
      </c>
      <c r="I76" s="532">
        <f>$D$76*I3</f>
        <v>0</v>
      </c>
      <c r="J76" s="532">
        <f>$F$76*G3</f>
        <v>15890.721875</v>
      </c>
      <c r="K76" s="532">
        <f>$F$76*H3</f>
        <v>6810.309375</v>
      </c>
      <c r="L76" s="532">
        <f>$F$76*I3</f>
        <v>0</v>
      </c>
      <c r="M76" s="250">
        <f>G76*3/100</f>
        <v>491.46562499999993</v>
      </c>
    </row>
    <row r="77" spans="1:13" s="133" customFormat="1" ht="15">
      <c r="A77" s="135" t="s">
        <v>439</v>
      </c>
      <c r="B77" s="250"/>
      <c r="C77" s="532">
        <f>SUM(C75:C76)</f>
        <v>371200</v>
      </c>
      <c r="D77" s="532">
        <f>SUM(D75:D76)</f>
        <v>185600</v>
      </c>
      <c r="E77" s="532">
        <f>SUM(E75:E76)</f>
        <v>5568</v>
      </c>
      <c r="F77" s="533">
        <f>D77-E77</f>
        <v>180032</v>
      </c>
      <c r="G77" s="533">
        <f aca="true" t="shared" si="10" ref="G77:L77">SUM(G75:G76)</f>
        <v>97480.625</v>
      </c>
      <c r="H77" s="533">
        <f t="shared" si="10"/>
        <v>55680</v>
      </c>
      <c r="I77" s="533">
        <f t="shared" si="10"/>
        <v>32439.375</v>
      </c>
      <c r="J77" s="533">
        <f t="shared" si="10"/>
        <v>94556.20625</v>
      </c>
      <c r="K77" s="533">
        <f t="shared" si="10"/>
        <v>54009.6</v>
      </c>
      <c r="L77" s="533">
        <f t="shared" si="10"/>
        <v>31466.193750000002</v>
      </c>
      <c r="M77" s="250"/>
    </row>
    <row r="78" spans="5:6" s="133" customFormat="1" ht="12.75">
      <c r="E78" s="403"/>
      <c r="F78" s="403"/>
    </row>
    <row r="79" spans="5:8" s="133" customFormat="1" ht="12.75">
      <c r="E79" s="403"/>
      <c r="F79" s="403"/>
      <c r="G79" s="534"/>
      <c r="H79" s="534"/>
    </row>
    <row r="80" spans="1:8" s="133" customFormat="1" ht="12.75">
      <c r="A80" s="85" t="s">
        <v>441</v>
      </c>
      <c r="B80" s="529">
        <v>222720</v>
      </c>
      <c r="C80" s="568">
        <v>50</v>
      </c>
      <c r="D80" s="575" t="s">
        <v>763</v>
      </c>
      <c r="E80" s="403"/>
      <c r="F80" s="403"/>
      <c r="H80" s="534"/>
    </row>
    <row r="81" ht="12.75">
      <c r="A81" s="85" t="s">
        <v>728</v>
      </c>
    </row>
    <row r="83" spans="1:12" ht="12.75">
      <c r="A83" t="s">
        <v>659</v>
      </c>
      <c r="B83" s="565" t="s">
        <v>729</v>
      </c>
      <c r="L83" s="133" t="s">
        <v>729</v>
      </c>
    </row>
    <row r="84" spans="7:15" ht="12.75">
      <c r="G84" s="624" t="s">
        <v>651</v>
      </c>
      <c r="H84" s="625"/>
      <c r="I84" s="626"/>
      <c r="J84" s="624" t="s">
        <v>652</v>
      </c>
      <c r="K84" s="625"/>
      <c r="L84" s="626"/>
      <c r="M84" s="627">
        <v>0.03</v>
      </c>
      <c r="N84" s="628"/>
      <c r="O84" s="629"/>
    </row>
    <row r="85" spans="1:15" s="133" customFormat="1" ht="12.75">
      <c r="A85" s="399"/>
      <c r="B85" s="399"/>
      <c r="C85" s="399" t="s">
        <v>440</v>
      </c>
      <c r="D85" s="399" t="s">
        <v>442</v>
      </c>
      <c r="E85" s="404" t="s">
        <v>443</v>
      </c>
      <c r="F85" s="404" t="s">
        <v>444</v>
      </c>
      <c r="G85" s="399" t="s">
        <v>653</v>
      </c>
      <c r="H85" s="399" t="s">
        <v>654</v>
      </c>
      <c r="I85" s="399" t="s">
        <v>655</v>
      </c>
      <c r="J85" s="399" t="s">
        <v>653</v>
      </c>
      <c r="K85" s="399" t="s">
        <v>654</v>
      </c>
      <c r="L85" s="399" t="s">
        <v>655</v>
      </c>
      <c r="M85" s="399" t="s">
        <v>653</v>
      </c>
      <c r="N85" s="399" t="s">
        <v>654</v>
      </c>
      <c r="O85" s="399" t="s">
        <v>655</v>
      </c>
    </row>
    <row r="86" spans="1:15" s="133" customFormat="1" ht="15">
      <c r="A86" s="135" t="s">
        <v>660</v>
      </c>
      <c r="B86" s="250"/>
      <c r="C86" s="532">
        <v>324393.75</v>
      </c>
      <c r="D86" s="532">
        <f>C86*$C$91/100</f>
        <v>194636.25</v>
      </c>
      <c r="E86" s="532">
        <f>D86*3/100</f>
        <v>5839.0875</v>
      </c>
      <c r="F86" s="533">
        <f>D86-E86</f>
        <v>188797.1625</v>
      </c>
      <c r="G86" s="532">
        <f>$D$86*G2</f>
        <v>97318.125</v>
      </c>
      <c r="H86" s="532">
        <f>$D$86*H2</f>
        <v>58390.875</v>
      </c>
      <c r="I86" s="532">
        <f>$D$86*I2</f>
        <v>38927.25</v>
      </c>
      <c r="J86" s="441">
        <f>$F$86*G2</f>
        <v>94398.58125</v>
      </c>
      <c r="K86" s="532">
        <f>$F$86*H2</f>
        <v>56639.14875</v>
      </c>
      <c r="L86" s="532">
        <f>$F$86*I2</f>
        <v>37759.4325</v>
      </c>
      <c r="M86" s="250">
        <f aca="true" t="shared" si="11" ref="M86:O87">G86*3/100</f>
        <v>2919.54375</v>
      </c>
      <c r="N86" s="250">
        <f t="shared" si="11"/>
        <v>1751.72625</v>
      </c>
      <c r="O86" s="250">
        <f t="shared" si="11"/>
        <v>1167.8175</v>
      </c>
    </row>
    <row r="87" spans="1:15" s="133" customFormat="1" ht="15">
      <c r="A87" s="135" t="s">
        <v>312</v>
      </c>
      <c r="B87" s="250"/>
      <c r="C87" s="532">
        <v>46806.25</v>
      </c>
      <c r="D87" s="532">
        <f>C87*$C$91/100</f>
        <v>28083.75</v>
      </c>
      <c r="E87" s="532">
        <f>D87*3/100</f>
        <v>842.5125</v>
      </c>
      <c r="F87" s="533">
        <f>D87-E87</f>
        <v>27241.2375</v>
      </c>
      <c r="G87" s="441">
        <f>$D$87*G3</f>
        <v>19658.625</v>
      </c>
      <c r="H87" s="532">
        <f>$D$87*H3</f>
        <v>8425.125</v>
      </c>
      <c r="I87" s="532">
        <f>$D$76*I15</f>
        <v>0</v>
      </c>
      <c r="J87" s="532">
        <f>$F$87*G3</f>
        <v>19068.86625</v>
      </c>
      <c r="K87" s="532">
        <f>$F$87*H3</f>
        <v>8172.371249999999</v>
      </c>
      <c r="L87" s="532">
        <f>$F$76*I3</f>
        <v>0</v>
      </c>
      <c r="M87" s="250">
        <f t="shared" si="11"/>
        <v>589.75875</v>
      </c>
      <c r="N87" s="250">
        <f t="shared" si="11"/>
        <v>252.75375</v>
      </c>
      <c r="O87" s="250">
        <f t="shared" si="11"/>
        <v>0</v>
      </c>
    </row>
    <row r="88" spans="1:15" s="133" customFormat="1" ht="15">
      <c r="A88" s="135" t="s">
        <v>439</v>
      </c>
      <c r="B88" s="250"/>
      <c r="C88" s="532">
        <f>SUM(C86:C87)</f>
        <v>371200</v>
      </c>
      <c r="D88" s="532">
        <f>SUM(D86:D87)</f>
        <v>222720</v>
      </c>
      <c r="E88" s="532">
        <f>SUM(E86:E87)</f>
        <v>6681.599999999999</v>
      </c>
      <c r="F88" s="533">
        <f>D88-E88</f>
        <v>216038.4</v>
      </c>
      <c r="G88" s="533">
        <f aca="true" t="shared" si="12" ref="G88:L88">SUM(G86:G87)</f>
        <v>116976.75</v>
      </c>
      <c r="H88" s="533">
        <f t="shared" si="12"/>
        <v>66816</v>
      </c>
      <c r="I88" s="533">
        <f t="shared" si="12"/>
        <v>38927.25</v>
      </c>
      <c r="J88" s="533">
        <f t="shared" si="12"/>
        <v>113467.44750000001</v>
      </c>
      <c r="K88" s="533">
        <f t="shared" si="12"/>
        <v>64811.52</v>
      </c>
      <c r="L88" s="533">
        <f t="shared" si="12"/>
        <v>37759.4325</v>
      </c>
      <c r="M88" s="399">
        <f>SUM(M86:M87)</f>
        <v>3509.3025</v>
      </c>
      <c r="N88" s="399">
        <f>SUM(N86:N87)</f>
        <v>2004.48</v>
      </c>
      <c r="O88" s="399">
        <f>SUM(O86:O87)</f>
        <v>1167.8175</v>
      </c>
    </row>
    <row r="89" spans="5:6" s="133" customFormat="1" ht="12.75">
      <c r="E89" s="403"/>
      <c r="F89" s="403"/>
    </row>
    <row r="90" spans="5:8" s="133" customFormat="1" ht="12.75">
      <c r="E90" s="403"/>
      <c r="F90" s="403"/>
      <c r="G90" s="534"/>
      <c r="H90" s="534"/>
    </row>
    <row r="91" spans="1:6" s="133" customFormat="1" ht="12.75">
      <c r="A91" s="85" t="s">
        <v>441</v>
      </c>
      <c r="B91" s="529">
        <v>222720</v>
      </c>
      <c r="C91" s="530">
        <f>B91*100/C88</f>
        <v>60</v>
      </c>
      <c r="E91" s="403"/>
      <c r="F91" s="403"/>
    </row>
    <row r="92" ht="12.75">
      <c r="A92" s="85" t="s">
        <v>728</v>
      </c>
    </row>
    <row r="93" spans="6:13" ht="12.75">
      <c r="F93" t="s">
        <v>730</v>
      </c>
      <c r="G93" s="534">
        <f>G86-G75</f>
        <v>16219.6875</v>
      </c>
      <c r="J93" s="577">
        <f>J86-J75</f>
        <v>15733.096875000003</v>
      </c>
      <c r="M93">
        <f>G93*3/100</f>
        <v>486.590625</v>
      </c>
    </row>
    <row r="94" ht="12.75">
      <c r="G94" s="439"/>
    </row>
  </sheetData>
  <sheetProtection/>
  <mergeCells count="17">
    <mergeCell ref="M84:O84"/>
    <mergeCell ref="M59:O59"/>
    <mergeCell ref="M45:O45"/>
    <mergeCell ref="G84:I84"/>
    <mergeCell ref="J84:L84"/>
    <mergeCell ref="G31:I31"/>
    <mergeCell ref="J31:L31"/>
    <mergeCell ref="G45:I45"/>
    <mergeCell ref="J45:L45"/>
    <mergeCell ref="G59:I59"/>
    <mergeCell ref="J59:L59"/>
    <mergeCell ref="G6:I6"/>
    <mergeCell ref="J6:L6"/>
    <mergeCell ref="G19:I19"/>
    <mergeCell ref="J19:L19"/>
    <mergeCell ref="G73:I73"/>
    <mergeCell ref="J73:L73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5"/>
  <sheetViews>
    <sheetView zoomScalePageLayoutView="0" workbookViewId="0" topLeftCell="A12">
      <selection activeCell="M27" sqref="M27"/>
    </sheetView>
  </sheetViews>
  <sheetFormatPr defaultColWidth="9.140625" defaultRowHeight="12.75"/>
  <cols>
    <col min="2" max="2" width="12.8515625" style="0" bestFit="1" customWidth="1"/>
    <col min="4" max="4" width="12.8515625" style="0" bestFit="1" customWidth="1"/>
    <col min="6" max="6" width="12.8515625" style="0" bestFit="1" customWidth="1"/>
    <col min="8" max="8" width="14.57421875" style="0" bestFit="1" customWidth="1"/>
    <col min="10" max="10" width="12.8515625" style="0" bestFit="1" customWidth="1"/>
  </cols>
  <sheetData>
    <row r="3" spans="2:6" ht="12.75">
      <c r="B3" s="50" t="s">
        <v>339</v>
      </c>
      <c r="C3" s="393" t="s">
        <v>340</v>
      </c>
      <c r="D3" s="50" t="s">
        <v>341</v>
      </c>
      <c r="E3" s="393" t="s">
        <v>342</v>
      </c>
      <c r="F3" s="50" t="s">
        <v>343</v>
      </c>
    </row>
    <row r="5" spans="2:6" ht="12.75">
      <c r="B5" s="51">
        <f>'Dimostrazione avanzo'!C6+'Dimostrazione avanzo'!C7</f>
        <v>447720.91</v>
      </c>
      <c r="D5" s="51">
        <f>'Dimostrazione avanzo'!C9-'Dimostrazione avanzo'!C11</f>
        <v>490338.43858076853</v>
      </c>
      <c r="F5" s="51">
        <f>B5+D5</f>
        <v>938059.3485807686</v>
      </c>
    </row>
    <row r="10" spans="2:6" ht="12.75">
      <c r="B10" s="50" t="s">
        <v>344</v>
      </c>
      <c r="C10" s="393" t="s">
        <v>340</v>
      </c>
      <c r="D10" s="50" t="s">
        <v>345</v>
      </c>
      <c r="E10" s="393" t="s">
        <v>342</v>
      </c>
      <c r="F10" s="50" t="s">
        <v>346</v>
      </c>
    </row>
    <row r="12" spans="2:6" ht="12.75">
      <c r="B12" s="51">
        <f>Entrate!E7</f>
        <v>122227.34</v>
      </c>
      <c r="D12" s="248">
        <f>Entrate!F58-'Spese '!F82</f>
        <v>-25437.602669231128</v>
      </c>
      <c r="F12" s="170">
        <f>B12+D12</f>
        <v>96789.73733076887</v>
      </c>
    </row>
    <row r="16" spans="2:10" ht="12.75">
      <c r="B16" s="50" t="s">
        <v>343</v>
      </c>
      <c r="C16" s="393" t="s">
        <v>340</v>
      </c>
      <c r="D16" s="50" t="s">
        <v>347</v>
      </c>
      <c r="E16" s="393" t="s">
        <v>338</v>
      </c>
      <c r="F16" s="50" t="s">
        <v>348</v>
      </c>
      <c r="G16" s="393" t="s">
        <v>342</v>
      </c>
      <c r="H16" s="50" t="s">
        <v>346</v>
      </c>
      <c r="J16" s="50" t="s">
        <v>351</v>
      </c>
    </row>
    <row r="18" spans="2:10" ht="12.75">
      <c r="B18" s="51">
        <f>F5</f>
        <v>938059.3485807686</v>
      </c>
      <c r="D18" s="248">
        <f>Entrate!L59</f>
        <v>170676.82625</v>
      </c>
      <c r="F18">
        <f>'Spese '!L83</f>
        <v>1011946.4374999999</v>
      </c>
      <c r="H18" s="170">
        <f>B18+D18-F18</f>
        <v>96789.7373307686</v>
      </c>
      <c r="J18" s="51">
        <f>F12-H18</f>
        <v>2.6193447411060333E-10</v>
      </c>
    </row>
    <row r="22" spans="2:10" ht="12.75">
      <c r="B22" s="50" t="s">
        <v>339</v>
      </c>
      <c r="C22" s="393" t="s">
        <v>340</v>
      </c>
      <c r="D22" s="50" t="s">
        <v>349</v>
      </c>
      <c r="E22" s="393" t="s">
        <v>338</v>
      </c>
      <c r="F22" s="50" t="s">
        <v>350</v>
      </c>
      <c r="G22" s="393" t="s">
        <v>342</v>
      </c>
      <c r="H22" s="50" t="s">
        <v>344</v>
      </c>
      <c r="J22" s="50" t="s">
        <v>351</v>
      </c>
    </row>
    <row r="24" spans="2:10" ht="12.75">
      <c r="B24" s="51">
        <f>B5</f>
        <v>447720.91</v>
      </c>
      <c r="D24" s="51">
        <f>Entrate!J58</f>
        <v>176542.93</v>
      </c>
      <c r="F24" s="51">
        <f>'Spese '!J82</f>
        <v>502036.5</v>
      </c>
      <c r="H24" s="51">
        <f>B24+D24-F24</f>
        <v>122227.33999999997</v>
      </c>
      <c r="J24" s="51">
        <f>B12-H24</f>
        <v>0</v>
      </c>
    </row>
    <row r="28" spans="2:10" s="133" customFormat="1" ht="12.75">
      <c r="B28" s="167" t="s">
        <v>349</v>
      </c>
      <c r="C28" s="395" t="s">
        <v>340</v>
      </c>
      <c r="D28" s="167" t="s">
        <v>353</v>
      </c>
      <c r="E28" s="395" t="s">
        <v>338</v>
      </c>
      <c r="F28" s="167" t="s">
        <v>352</v>
      </c>
      <c r="G28" s="395" t="s">
        <v>342</v>
      </c>
      <c r="H28" s="167" t="s">
        <v>347</v>
      </c>
      <c r="J28" s="446" t="s">
        <v>404</v>
      </c>
    </row>
    <row r="29" s="133" customFormat="1" ht="12.75"/>
    <row r="30" spans="2:10" s="133" customFormat="1" ht="12.75">
      <c r="B30" s="170">
        <f>D24</f>
        <v>176542.93</v>
      </c>
      <c r="D30" s="170">
        <f>Entrate!H58</f>
        <v>4520.696250000008</v>
      </c>
      <c r="F30" s="396">
        <f>Entrate!K58</f>
        <v>10386.8</v>
      </c>
      <c r="H30" s="170">
        <f>B30+D30-F30</f>
        <v>170676.82625</v>
      </c>
      <c r="I30" s="167" t="s">
        <v>354</v>
      </c>
      <c r="J30" s="170">
        <f>D18-H30</f>
        <v>0</v>
      </c>
    </row>
    <row r="31" s="133" customFormat="1" ht="12.75"/>
    <row r="32" s="133" customFormat="1" ht="12.75"/>
    <row r="33" spans="2:8" ht="12.75">
      <c r="B33" s="167" t="s">
        <v>350</v>
      </c>
      <c r="C33" s="395" t="s">
        <v>340</v>
      </c>
      <c r="D33" s="167" t="s">
        <v>355</v>
      </c>
      <c r="E33" s="395" t="s">
        <v>338</v>
      </c>
      <c r="F33" s="167" t="s">
        <v>356</v>
      </c>
      <c r="G33" s="395" t="s">
        <v>342</v>
      </c>
      <c r="H33" s="167" t="s">
        <v>348</v>
      </c>
    </row>
    <row r="34" ht="12.75">
      <c r="J34" s="50" t="s">
        <v>404</v>
      </c>
    </row>
    <row r="35" spans="2:10" ht="12.75">
      <c r="B35" s="51">
        <f>F24</f>
        <v>502036.5</v>
      </c>
      <c r="D35">
        <f>'Spese '!H82</f>
        <v>612713.0974999999</v>
      </c>
      <c r="F35">
        <f>'Spese '!K82</f>
        <v>102803.16</v>
      </c>
      <c r="H35" s="51">
        <f>B35+D35-F35</f>
        <v>1011946.4374999999</v>
      </c>
      <c r="I35" s="50" t="s">
        <v>357</v>
      </c>
      <c r="J35" s="51">
        <f>F18-H35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zoomScalePageLayoutView="0" workbookViewId="0" topLeftCell="A2">
      <selection activeCell="G8" sqref="G8"/>
    </sheetView>
  </sheetViews>
  <sheetFormatPr defaultColWidth="9.140625" defaultRowHeight="12.75"/>
  <cols>
    <col min="1" max="1" width="25.7109375" style="0" customWidth="1"/>
    <col min="2" max="2" width="38.140625" style="0" bestFit="1" customWidth="1"/>
    <col min="3" max="3" width="32.00390625" style="0" bestFit="1" customWidth="1"/>
    <col min="4" max="4" width="21.421875" style="0" bestFit="1" customWidth="1"/>
    <col min="5" max="5" width="12.8515625" style="0" bestFit="1" customWidth="1"/>
    <col min="6" max="6" width="13.28125" style="0" customWidth="1"/>
    <col min="7" max="7" width="13.28125" style="0" bestFit="1" customWidth="1"/>
    <col min="8" max="8" width="12.8515625" style="0" bestFit="1" customWidth="1"/>
  </cols>
  <sheetData>
    <row r="1" spans="1:5" ht="12.75">
      <c r="A1" s="611" t="s">
        <v>418</v>
      </c>
      <c r="B1" s="611"/>
      <c r="C1" s="611"/>
      <c r="D1" s="611"/>
      <c r="E1" s="611"/>
    </row>
    <row r="2" spans="1:5" s="49" customFormat="1" ht="32.25" customHeight="1">
      <c r="A2" s="56" t="s">
        <v>212</v>
      </c>
      <c r="B2" s="56" t="s">
        <v>213</v>
      </c>
      <c r="C2" s="56" t="s">
        <v>214</v>
      </c>
      <c r="D2" s="56" t="s">
        <v>220</v>
      </c>
      <c r="E2" s="56" t="s">
        <v>211</v>
      </c>
    </row>
    <row r="3" spans="1:5" ht="12.75">
      <c r="A3" s="81" t="s">
        <v>11</v>
      </c>
      <c r="B3" s="81" t="s">
        <v>4</v>
      </c>
      <c r="C3" s="50" t="s">
        <v>676</v>
      </c>
      <c r="D3" s="50"/>
      <c r="E3" s="174">
        <v>12000</v>
      </c>
    </row>
    <row r="4" spans="1:5" s="52" customFormat="1" ht="12.75">
      <c r="A4" s="82"/>
      <c r="B4" s="83"/>
      <c r="E4" s="53"/>
    </row>
    <row r="5" ht="12.75">
      <c r="F5" s="50"/>
    </row>
    <row r="6" spans="1:5" ht="12.75">
      <c r="A6" s="81" t="s">
        <v>27</v>
      </c>
      <c r="B6" s="81" t="s">
        <v>101</v>
      </c>
      <c r="C6" t="s">
        <v>419</v>
      </c>
      <c r="E6" s="450">
        <v>3750</v>
      </c>
    </row>
    <row r="7" spans="3:5" ht="12.75">
      <c r="C7" s="50" t="s">
        <v>420</v>
      </c>
      <c r="E7" s="450">
        <v>3750</v>
      </c>
    </row>
    <row r="8" spans="3:5" ht="12.75">
      <c r="C8" s="50" t="s">
        <v>677</v>
      </c>
      <c r="E8" s="450">
        <v>3750</v>
      </c>
    </row>
    <row r="9" spans="3:5" ht="12.75">
      <c r="C9" s="50" t="s">
        <v>421</v>
      </c>
      <c r="E9" s="450">
        <v>3750</v>
      </c>
    </row>
    <row r="10" ht="12.75">
      <c r="E10" s="271">
        <f>SUM(E6:E9)</f>
        <v>15000</v>
      </c>
    </row>
    <row r="12" spans="3:5" ht="12.75">
      <c r="C12" s="52" t="s">
        <v>422</v>
      </c>
      <c r="D12" s="52"/>
      <c r="E12" s="53">
        <f>E3+E10</f>
        <v>27000</v>
      </c>
    </row>
    <row r="13" spans="3:5" ht="12.75">
      <c r="C13" s="50"/>
      <c r="E13" s="450"/>
    </row>
    <row r="14" spans="3:5" ht="12.75">
      <c r="C14" s="50"/>
      <c r="E14" s="450"/>
    </row>
    <row r="15" ht="12.75">
      <c r="E15" s="271"/>
    </row>
    <row r="17" spans="3:5" ht="12.75">
      <c r="C17" s="52"/>
      <c r="D17" s="52"/>
      <c r="E17" s="53"/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47"/>
  <sheetViews>
    <sheetView zoomScale="70" zoomScaleNormal="70" workbookViewId="0" topLeftCell="D10">
      <selection activeCell="H46" sqref="H46"/>
    </sheetView>
  </sheetViews>
  <sheetFormatPr defaultColWidth="9.140625" defaultRowHeight="37.5" customHeight="1"/>
  <cols>
    <col min="1" max="1" width="6.7109375" style="562" customWidth="1"/>
    <col min="2" max="2" width="15.7109375" style="563" bestFit="1" customWidth="1"/>
    <col min="3" max="3" width="124.28125" style="523" customWidth="1"/>
    <col min="4" max="4" width="19.8515625" style="523" customWidth="1"/>
    <col min="5" max="5" width="17.8515625" style="525" bestFit="1" customWidth="1"/>
    <col min="6" max="6" width="12.421875" style="523" bestFit="1" customWidth="1"/>
    <col min="7" max="7" width="43.00390625" style="523" bestFit="1" customWidth="1"/>
    <col min="8" max="8" width="9.140625" style="523" customWidth="1"/>
    <col min="9" max="9" width="22.28125" style="523" bestFit="1" customWidth="1"/>
    <col min="10" max="10" width="20.8515625" style="523" customWidth="1"/>
    <col min="11" max="11" width="12.00390625" style="523" bestFit="1" customWidth="1"/>
    <col min="12" max="13" width="11.00390625" style="523" bestFit="1" customWidth="1"/>
    <col min="14" max="16384" width="9.140625" style="523" customWidth="1"/>
  </cols>
  <sheetData>
    <row r="1" spans="1:10" ht="37.5" customHeight="1">
      <c r="A1" s="612" t="s">
        <v>263</v>
      </c>
      <c r="B1" s="612"/>
      <c r="C1" s="612"/>
      <c r="D1" s="612"/>
      <c r="E1" s="612"/>
      <c r="F1" s="612"/>
      <c r="G1" s="612"/>
      <c r="H1" s="612"/>
      <c r="I1" s="612"/>
      <c r="J1" s="540"/>
    </row>
    <row r="2" spans="1:11" s="519" customFormat="1" ht="37.5" customHeight="1">
      <c r="A2" s="512" t="s">
        <v>264</v>
      </c>
      <c r="B2" s="541" t="s">
        <v>265</v>
      </c>
      <c r="C2" s="542" t="s">
        <v>214</v>
      </c>
      <c r="D2" s="542" t="s">
        <v>220</v>
      </c>
      <c r="E2" s="524" t="s">
        <v>211</v>
      </c>
      <c r="F2" s="542" t="s">
        <v>212</v>
      </c>
      <c r="G2" s="542" t="s">
        <v>213</v>
      </c>
      <c r="H2" s="542" t="s">
        <v>266</v>
      </c>
      <c r="I2" s="543" t="s">
        <v>273</v>
      </c>
      <c r="J2" s="517" t="s">
        <v>305</v>
      </c>
      <c r="K2" s="518" t="s">
        <v>303</v>
      </c>
    </row>
    <row r="3" spans="1:11" s="519" customFormat="1" ht="37.5" customHeight="1">
      <c r="A3" s="512">
        <v>1</v>
      </c>
      <c r="B3" s="513">
        <v>42751</v>
      </c>
      <c r="C3" s="514" t="s">
        <v>493</v>
      </c>
      <c r="D3" s="514" t="s">
        <v>591</v>
      </c>
      <c r="E3" s="515">
        <v>410</v>
      </c>
      <c r="F3" s="514" t="s">
        <v>115</v>
      </c>
      <c r="G3" s="514" t="s">
        <v>0</v>
      </c>
      <c r="H3" s="514" t="s">
        <v>279</v>
      </c>
      <c r="I3" s="516" t="s">
        <v>308</v>
      </c>
      <c r="J3" s="517"/>
      <c r="K3" s="518"/>
    </row>
    <row r="4" spans="1:11" s="519" customFormat="1" ht="37.5" customHeight="1">
      <c r="A4" s="512">
        <v>2</v>
      </c>
      <c r="B4" s="513">
        <v>42751</v>
      </c>
      <c r="C4" s="514" t="s">
        <v>494</v>
      </c>
      <c r="D4" s="514" t="s">
        <v>592</v>
      </c>
      <c r="E4" s="515">
        <v>300</v>
      </c>
      <c r="F4" s="514" t="s">
        <v>115</v>
      </c>
      <c r="G4" s="514" t="s">
        <v>0</v>
      </c>
      <c r="H4" s="514" t="s">
        <v>279</v>
      </c>
      <c r="I4" s="516" t="s">
        <v>308</v>
      </c>
      <c r="J4" s="517"/>
      <c r="K4" s="518"/>
    </row>
    <row r="5" spans="1:11" s="519" customFormat="1" ht="37.5" customHeight="1">
      <c r="A5" s="512">
        <v>3</v>
      </c>
      <c r="B5" s="513">
        <v>42752</v>
      </c>
      <c r="C5" s="514" t="s">
        <v>489</v>
      </c>
      <c r="D5" s="514" t="s">
        <v>426</v>
      </c>
      <c r="E5" s="515">
        <v>165937.5</v>
      </c>
      <c r="F5" s="514" t="s">
        <v>38</v>
      </c>
      <c r="G5" s="514" t="s">
        <v>183</v>
      </c>
      <c r="H5" s="514" t="s">
        <v>278</v>
      </c>
      <c r="I5" s="516" t="s">
        <v>492</v>
      </c>
      <c r="J5" s="517"/>
      <c r="K5" s="518"/>
    </row>
    <row r="6" spans="1:11" s="519" customFormat="1" ht="37.5" customHeight="1">
      <c r="A6" s="512">
        <v>4</v>
      </c>
      <c r="B6" s="513">
        <v>42765</v>
      </c>
      <c r="C6" s="514" t="s">
        <v>495</v>
      </c>
      <c r="D6" s="514" t="s">
        <v>593</v>
      </c>
      <c r="E6" s="515">
        <v>400</v>
      </c>
      <c r="F6" s="514" t="s">
        <v>115</v>
      </c>
      <c r="G6" s="514" t="s">
        <v>0</v>
      </c>
      <c r="H6" s="514" t="s">
        <v>279</v>
      </c>
      <c r="I6" s="516" t="s">
        <v>308</v>
      </c>
      <c r="J6" s="517"/>
      <c r="K6" s="518"/>
    </row>
    <row r="7" spans="1:11" s="519" customFormat="1" ht="37.5" customHeight="1">
      <c r="A7" s="512">
        <v>5</v>
      </c>
      <c r="B7" s="513">
        <v>42779</v>
      </c>
      <c r="C7" s="514" t="s">
        <v>671</v>
      </c>
      <c r="D7" s="514" t="s">
        <v>460</v>
      </c>
      <c r="E7" s="515">
        <f>38730.47*3/100</f>
        <v>1161.9141</v>
      </c>
      <c r="F7" s="514" t="s">
        <v>27</v>
      </c>
      <c r="G7" s="514" t="s">
        <v>300</v>
      </c>
      <c r="H7" s="514" t="s">
        <v>278</v>
      </c>
      <c r="I7" s="516" t="s">
        <v>308</v>
      </c>
      <c r="J7" s="517"/>
      <c r="K7" s="518"/>
    </row>
    <row r="8" spans="1:11" s="519" customFormat="1" ht="37.5" customHeight="1">
      <c r="A8" s="512">
        <v>6</v>
      </c>
      <c r="B8" s="513">
        <v>42779</v>
      </c>
      <c r="C8" s="514" t="s">
        <v>672</v>
      </c>
      <c r="D8" s="514" t="s">
        <v>460</v>
      </c>
      <c r="E8" s="515">
        <f>17472.66*3/100</f>
        <v>524.1798</v>
      </c>
      <c r="F8" s="514" t="s">
        <v>27</v>
      </c>
      <c r="G8" s="514" t="s">
        <v>300</v>
      </c>
      <c r="H8" s="514" t="s">
        <v>278</v>
      </c>
      <c r="I8" s="516" t="s">
        <v>308</v>
      </c>
      <c r="J8" s="517"/>
      <c r="K8" s="518"/>
    </row>
    <row r="9" spans="1:11" s="519" customFormat="1" ht="37.5" customHeight="1">
      <c r="A9" s="512">
        <v>7</v>
      </c>
      <c r="B9" s="513">
        <v>42779</v>
      </c>
      <c r="C9" s="514" t="s">
        <v>673</v>
      </c>
      <c r="D9" s="514" t="s">
        <v>460</v>
      </c>
      <c r="E9" s="515">
        <f>46093.75*3/100</f>
        <v>1382.8125</v>
      </c>
      <c r="F9" s="514" t="s">
        <v>27</v>
      </c>
      <c r="G9" s="514" t="s">
        <v>300</v>
      </c>
      <c r="H9" s="514" t="s">
        <v>278</v>
      </c>
      <c r="I9" s="516" t="s">
        <v>308</v>
      </c>
      <c r="J9" s="517"/>
      <c r="K9" s="518"/>
    </row>
    <row r="10" spans="1:11" s="519" customFormat="1" ht="37.5" customHeight="1">
      <c r="A10" s="512">
        <v>8</v>
      </c>
      <c r="B10" s="513">
        <v>42779</v>
      </c>
      <c r="C10" s="514" t="s">
        <v>674</v>
      </c>
      <c r="D10" s="514" t="s">
        <v>460</v>
      </c>
      <c r="E10" s="515">
        <v>8081</v>
      </c>
      <c r="F10" s="514" t="s">
        <v>27</v>
      </c>
      <c r="G10" s="514" t="s">
        <v>300</v>
      </c>
      <c r="H10" s="514" t="s">
        <v>278</v>
      </c>
      <c r="I10" s="516" t="s">
        <v>625</v>
      </c>
      <c r="J10" s="517"/>
      <c r="K10" s="518"/>
    </row>
    <row r="11" spans="1:11" s="519" customFormat="1" ht="37.5" customHeight="1">
      <c r="A11" s="512">
        <v>9</v>
      </c>
      <c r="B11" s="513">
        <v>42801</v>
      </c>
      <c r="C11" s="514" t="s">
        <v>500</v>
      </c>
      <c r="D11" s="514" t="s">
        <v>596</v>
      </c>
      <c r="E11" s="515">
        <v>500</v>
      </c>
      <c r="F11" s="514" t="s">
        <v>115</v>
      </c>
      <c r="G11" s="514" t="s">
        <v>0</v>
      </c>
      <c r="H11" s="514" t="s">
        <v>278</v>
      </c>
      <c r="I11" s="516" t="s">
        <v>358</v>
      </c>
      <c r="J11" s="517"/>
      <c r="K11" s="518"/>
    </row>
    <row r="12" spans="1:11" s="519" customFormat="1" ht="37.5" customHeight="1">
      <c r="A12" s="512">
        <v>10</v>
      </c>
      <c r="B12" s="544">
        <v>42814</v>
      </c>
      <c r="C12" s="545" t="s">
        <v>607</v>
      </c>
      <c r="D12" s="545" t="s">
        <v>268</v>
      </c>
      <c r="E12" s="546">
        <v>2000</v>
      </c>
      <c r="F12" s="547" t="s">
        <v>27</v>
      </c>
      <c r="G12" s="547" t="s">
        <v>300</v>
      </c>
      <c r="H12" s="545" t="s">
        <v>278</v>
      </c>
      <c r="I12" s="548" t="s">
        <v>358</v>
      </c>
      <c r="J12" s="517"/>
      <c r="K12" s="518"/>
    </row>
    <row r="13" spans="1:11" s="519" customFormat="1" ht="37.5" customHeight="1">
      <c r="A13" s="512">
        <v>11</v>
      </c>
      <c r="B13" s="544">
        <v>42828</v>
      </c>
      <c r="C13" s="545" t="s">
        <v>546</v>
      </c>
      <c r="D13" s="545" t="s">
        <v>638</v>
      </c>
      <c r="E13" s="546">
        <v>70</v>
      </c>
      <c r="F13" s="547" t="s">
        <v>115</v>
      </c>
      <c r="G13" s="547" t="s">
        <v>0</v>
      </c>
      <c r="H13" s="545" t="s">
        <v>278</v>
      </c>
      <c r="I13" s="548" t="s">
        <v>358</v>
      </c>
      <c r="J13" s="517"/>
      <c r="K13" s="518"/>
    </row>
    <row r="14" spans="1:11" s="519" customFormat="1" ht="37.5" customHeight="1">
      <c r="A14" s="512">
        <v>12</v>
      </c>
      <c r="B14" s="544">
        <v>42831</v>
      </c>
      <c r="C14" s="545" t="s">
        <v>548</v>
      </c>
      <c r="D14" s="545" t="s">
        <v>637</v>
      </c>
      <c r="E14" s="546">
        <v>115.6</v>
      </c>
      <c r="F14" s="547" t="s">
        <v>115</v>
      </c>
      <c r="G14" s="547" t="s">
        <v>0</v>
      </c>
      <c r="H14" s="545" t="s">
        <v>278</v>
      </c>
      <c r="I14" s="548" t="s">
        <v>358</v>
      </c>
      <c r="J14" s="517"/>
      <c r="K14" s="518"/>
    </row>
    <row r="15" spans="1:11" s="519" customFormat="1" ht="37.5" customHeight="1">
      <c r="A15" s="512">
        <v>13</v>
      </c>
      <c r="B15" s="513">
        <v>42832</v>
      </c>
      <c r="C15" s="514" t="s">
        <v>490</v>
      </c>
      <c r="D15" s="514" t="s">
        <v>425</v>
      </c>
      <c r="E15" s="515">
        <v>3000</v>
      </c>
      <c r="F15" s="514" t="s">
        <v>27</v>
      </c>
      <c r="G15" s="514" t="s">
        <v>300</v>
      </c>
      <c r="H15" s="514" t="s">
        <v>279</v>
      </c>
      <c r="I15" s="516" t="s">
        <v>308</v>
      </c>
      <c r="J15" s="517"/>
      <c r="K15" s="518"/>
    </row>
    <row r="16" spans="1:11" s="519" customFormat="1" ht="37.5" customHeight="1">
      <c r="A16" s="512">
        <v>14</v>
      </c>
      <c r="B16" s="544">
        <v>42832</v>
      </c>
      <c r="C16" s="545" t="s">
        <v>556</v>
      </c>
      <c r="D16" s="545" t="s">
        <v>600</v>
      </c>
      <c r="E16" s="546">
        <v>500</v>
      </c>
      <c r="F16" s="547" t="s">
        <v>115</v>
      </c>
      <c r="G16" s="547" t="s">
        <v>0</v>
      </c>
      <c r="H16" s="545" t="s">
        <v>278</v>
      </c>
      <c r="I16" s="548" t="s">
        <v>358</v>
      </c>
      <c r="J16" s="517"/>
      <c r="K16" s="518"/>
    </row>
    <row r="17" spans="1:11" s="519" customFormat="1" ht="37.5" customHeight="1">
      <c r="A17" s="512">
        <v>15</v>
      </c>
      <c r="B17" s="544">
        <v>42835</v>
      </c>
      <c r="C17" s="545" t="s">
        <v>558</v>
      </c>
      <c r="D17" s="545" t="s">
        <v>636</v>
      </c>
      <c r="E17" s="546">
        <v>55.32</v>
      </c>
      <c r="F17" s="547" t="s">
        <v>115</v>
      </c>
      <c r="G17" s="547" t="s">
        <v>0</v>
      </c>
      <c r="H17" s="545" t="s">
        <v>278</v>
      </c>
      <c r="I17" s="548" t="s">
        <v>358</v>
      </c>
      <c r="J17" s="517"/>
      <c r="K17" s="518"/>
    </row>
    <row r="18" spans="1:12" s="557" customFormat="1" ht="37.5" customHeight="1">
      <c r="A18" s="512">
        <v>16</v>
      </c>
      <c r="B18" s="549">
        <v>42843</v>
      </c>
      <c r="C18" s="550" t="s">
        <v>505</v>
      </c>
      <c r="D18" s="550" t="s">
        <v>268</v>
      </c>
      <c r="E18" s="551">
        <v>100500</v>
      </c>
      <c r="F18" s="550" t="s">
        <v>27</v>
      </c>
      <c r="G18" s="550" t="s">
        <v>300</v>
      </c>
      <c r="H18" s="550" t="s">
        <v>278</v>
      </c>
      <c r="I18" s="553" t="s">
        <v>308</v>
      </c>
      <c r="J18" s="554"/>
      <c r="K18" s="555"/>
      <c r="L18" s="556"/>
    </row>
    <row r="19" spans="1:11" s="519" customFormat="1" ht="37.5" customHeight="1">
      <c r="A19" s="512">
        <v>17</v>
      </c>
      <c r="B19" s="513">
        <v>42844</v>
      </c>
      <c r="C19" s="514" t="s">
        <v>602</v>
      </c>
      <c r="D19" s="514" t="s">
        <v>487</v>
      </c>
      <c r="E19" s="515">
        <v>2000</v>
      </c>
      <c r="F19" s="514" t="s">
        <v>27</v>
      </c>
      <c r="G19" s="514" t="s">
        <v>300</v>
      </c>
      <c r="H19" s="514" t="s">
        <v>278</v>
      </c>
      <c r="I19" s="516" t="s">
        <v>308</v>
      </c>
      <c r="J19" s="517"/>
      <c r="K19" s="518"/>
    </row>
    <row r="20" spans="1:12" s="557" customFormat="1" ht="37.5" customHeight="1">
      <c r="A20" s="512">
        <v>18</v>
      </c>
      <c r="B20" s="549">
        <v>42863</v>
      </c>
      <c r="C20" s="550" t="s">
        <v>708</v>
      </c>
      <c r="D20" s="550" t="s">
        <v>732</v>
      </c>
      <c r="E20" s="551">
        <f>111+222+111+111+222+333</f>
        <v>1110</v>
      </c>
      <c r="F20" s="552" t="s">
        <v>23</v>
      </c>
      <c r="G20" s="550" t="s">
        <v>97</v>
      </c>
      <c r="H20" s="550" t="s">
        <v>278</v>
      </c>
      <c r="I20" s="553" t="s">
        <v>308</v>
      </c>
      <c r="J20" s="554"/>
      <c r="K20" s="555"/>
      <c r="L20" s="556"/>
    </row>
    <row r="21" spans="1:11" s="519" customFormat="1" ht="37.5" customHeight="1">
      <c r="A21" s="512">
        <v>19</v>
      </c>
      <c r="B21" s="513">
        <v>42874</v>
      </c>
      <c r="C21" s="514" t="s">
        <v>509</v>
      </c>
      <c r="D21" s="514" t="s">
        <v>596</v>
      </c>
      <c r="E21" s="515">
        <v>500</v>
      </c>
      <c r="F21" s="514" t="s">
        <v>115</v>
      </c>
      <c r="G21" s="514" t="s">
        <v>0</v>
      </c>
      <c r="H21" s="514" t="s">
        <v>278</v>
      </c>
      <c r="I21" s="516" t="s">
        <v>358</v>
      </c>
      <c r="J21" s="517"/>
      <c r="K21" s="518"/>
    </row>
    <row r="22" spans="1:11" s="519" customFormat="1" ht="37.5" customHeight="1">
      <c r="A22" s="512">
        <v>20</v>
      </c>
      <c r="B22" s="513">
        <v>42880</v>
      </c>
      <c r="C22" s="514" t="s">
        <v>486</v>
      </c>
      <c r="D22" s="514" t="s">
        <v>488</v>
      </c>
      <c r="E22" s="515">
        <v>7500</v>
      </c>
      <c r="F22" s="514" t="s">
        <v>27</v>
      </c>
      <c r="G22" s="514" t="s">
        <v>300</v>
      </c>
      <c r="H22" s="514" t="s">
        <v>278</v>
      </c>
      <c r="I22" s="516" t="s">
        <v>301</v>
      </c>
      <c r="J22" s="517"/>
      <c r="K22" s="518"/>
    </row>
    <row r="23" spans="1:11" s="519" customFormat="1" ht="37.5" customHeight="1">
      <c r="A23" s="512">
        <v>21</v>
      </c>
      <c r="B23" s="513">
        <v>42899</v>
      </c>
      <c r="C23" s="514" t="s">
        <v>491</v>
      </c>
      <c r="D23" s="514" t="s">
        <v>425</v>
      </c>
      <c r="E23" s="515">
        <v>4537.5</v>
      </c>
      <c r="F23" s="514" t="s">
        <v>27</v>
      </c>
      <c r="G23" s="514" t="s">
        <v>300</v>
      </c>
      <c r="H23" s="514" t="s">
        <v>278</v>
      </c>
      <c r="I23" s="516" t="s">
        <v>301</v>
      </c>
      <c r="J23" s="517"/>
      <c r="K23" s="518"/>
    </row>
    <row r="24" spans="1:11" s="519" customFormat="1" ht="37.5" customHeight="1">
      <c r="A24" s="512">
        <v>22</v>
      </c>
      <c r="B24" s="558">
        <v>42936</v>
      </c>
      <c r="C24" s="559" t="s">
        <v>608</v>
      </c>
      <c r="D24" s="559" t="s">
        <v>428</v>
      </c>
      <c r="E24" s="560">
        <v>31938.81</v>
      </c>
      <c r="F24" s="547" t="s">
        <v>38</v>
      </c>
      <c r="G24" s="547" t="s">
        <v>183</v>
      </c>
      <c r="H24" s="559" t="s">
        <v>278</v>
      </c>
      <c r="I24" s="559" t="s">
        <v>358</v>
      </c>
      <c r="J24" s="517"/>
      <c r="K24" s="518"/>
    </row>
    <row r="25" spans="1:11" s="519" customFormat="1" ht="37.5" customHeight="1">
      <c r="A25" s="512">
        <v>23</v>
      </c>
      <c r="B25" s="513">
        <v>42971</v>
      </c>
      <c r="C25" s="514" t="s">
        <v>709</v>
      </c>
      <c r="D25" s="514" t="s">
        <v>268</v>
      </c>
      <c r="E25" s="515">
        <f>26000+9234.96-accertamenti!D42</f>
        <v>28958.16</v>
      </c>
      <c r="F25" s="514" t="s">
        <v>27</v>
      </c>
      <c r="G25" s="514" t="s">
        <v>300</v>
      </c>
      <c r="H25" s="514" t="s">
        <v>278</v>
      </c>
      <c r="I25" s="516" t="s">
        <v>308</v>
      </c>
      <c r="J25" s="517"/>
      <c r="K25" s="518"/>
    </row>
    <row r="26" spans="1:11" s="519" customFormat="1" ht="37.5" customHeight="1">
      <c r="A26" s="512">
        <v>24</v>
      </c>
      <c r="B26" s="513">
        <v>42971</v>
      </c>
      <c r="C26" s="514" t="s">
        <v>648</v>
      </c>
      <c r="D26" s="514" t="s">
        <v>268</v>
      </c>
      <c r="E26" s="515">
        <f>accertamenti!D42</f>
        <v>6276.8</v>
      </c>
      <c r="F26" s="514" t="s">
        <v>27</v>
      </c>
      <c r="G26" s="514" t="s">
        <v>300</v>
      </c>
      <c r="H26" s="514" t="s">
        <v>279</v>
      </c>
      <c r="I26" s="516" t="s">
        <v>308</v>
      </c>
      <c r="J26" s="517"/>
      <c r="K26" s="518"/>
    </row>
    <row r="27" spans="1:24" ht="37.5" customHeight="1">
      <c r="A27" s="512">
        <v>25</v>
      </c>
      <c r="B27" s="513">
        <v>42978</v>
      </c>
      <c r="C27" s="514" t="s">
        <v>622</v>
      </c>
      <c r="D27" s="514" t="s">
        <v>268</v>
      </c>
      <c r="E27" s="515">
        <v>8081</v>
      </c>
      <c r="F27" s="514" t="s">
        <v>27</v>
      </c>
      <c r="G27" s="514" t="s">
        <v>300</v>
      </c>
      <c r="H27" s="514" t="s">
        <v>278</v>
      </c>
      <c r="I27" s="516" t="s">
        <v>625</v>
      </c>
      <c r="J27" s="517"/>
      <c r="K27" s="518"/>
      <c r="L27" s="519"/>
      <c r="M27" s="519"/>
      <c r="O27" s="561"/>
      <c r="P27" s="561"/>
      <c r="Q27" s="561"/>
      <c r="R27" s="561"/>
      <c r="S27" s="561"/>
      <c r="T27" s="561"/>
      <c r="U27" s="561"/>
      <c r="V27" s="561"/>
      <c r="W27" s="561"/>
      <c r="X27" s="561"/>
    </row>
    <row r="28" spans="1:24" ht="37.5" customHeight="1">
      <c r="A28" s="512">
        <v>26</v>
      </c>
      <c r="B28" s="513">
        <v>42978</v>
      </c>
      <c r="C28" s="514" t="s">
        <v>710</v>
      </c>
      <c r="D28" s="514" t="s">
        <v>268</v>
      </c>
      <c r="E28" s="515">
        <v>1300</v>
      </c>
      <c r="F28" s="514" t="s">
        <v>27</v>
      </c>
      <c r="G28" s="514" t="s">
        <v>300</v>
      </c>
      <c r="H28" s="514" t="s">
        <v>278</v>
      </c>
      <c r="I28" s="516" t="s">
        <v>429</v>
      </c>
      <c r="J28" s="517"/>
      <c r="K28" s="518"/>
      <c r="L28" s="519"/>
      <c r="M28" s="519"/>
      <c r="O28" s="561"/>
      <c r="P28" s="561"/>
      <c r="Q28" s="561"/>
      <c r="R28" s="561"/>
      <c r="S28" s="561"/>
      <c r="T28" s="561"/>
      <c r="U28" s="561"/>
      <c r="V28" s="561"/>
      <c r="W28" s="561"/>
      <c r="X28" s="561"/>
    </row>
    <row r="29" spans="1:24" ht="37.5" customHeight="1">
      <c r="A29" s="512">
        <v>27</v>
      </c>
      <c r="B29" s="513">
        <v>42978</v>
      </c>
      <c r="C29" s="514" t="s">
        <v>624</v>
      </c>
      <c r="D29" s="514" t="s">
        <v>268</v>
      </c>
      <c r="E29" s="515">
        <v>4537.5</v>
      </c>
      <c r="F29" s="514" t="s">
        <v>27</v>
      </c>
      <c r="G29" s="514" t="s">
        <v>300</v>
      </c>
      <c r="H29" s="514" t="s">
        <v>278</v>
      </c>
      <c r="I29" s="516" t="s">
        <v>308</v>
      </c>
      <c r="J29" s="517"/>
      <c r="K29" s="518"/>
      <c r="L29" s="519"/>
      <c r="M29" s="519"/>
      <c r="O29" s="561"/>
      <c r="P29" s="561"/>
      <c r="Q29" s="561"/>
      <c r="R29" s="561"/>
      <c r="S29" s="561"/>
      <c r="T29" s="561"/>
      <c r="U29" s="561"/>
      <c r="V29" s="561"/>
      <c r="W29" s="561"/>
      <c r="X29" s="561"/>
    </row>
    <row r="30" spans="1:11" s="519" customFormat="1" ht="37.5" customHeight="1">
      <c r="A30" s="512">
        <v>28</v>
      </c>
      <c r="B30" s="558">
        <v>42993</v>
      </c>
      <c r="C30" s="559" t="s">
        <v>647</v>
      </c>
      <c r="D30" s="559" t="s">
        <v>646</v>
      </c>
      <c r="E30" s="560">
        <v>0.09</v>
      </c>
      <c r="F30" s="547" t="s">
        <v>23</v>
      </c>
      <c r="G30" s="547" t="s">
        <v>97</v>
      </c>
      <c r="H30" s="559" t="s">
        <v>278</v>
      </c>
      <c r="I30" s="559" t="s">
        <v>358</v>
      </c>
      <c r="J30" s="517"/>
      <c r="K30" s="518"/>
    </row>
    <row r="31" spans="1:11" s="519" customFormat="1" ht="37.5" customHeight="1">
      <c r="A31" s="512">
        <v>29</v>
      </c>
      <c r="B31" s="513">
        <v>42993</v>
      </c>
      <c r="C31" s="514" t="s">
        <v>609</v>
      </c>
      <c r="D31" s="514" t="s">
        <v>268</v>
      </c>
      <c r="E31" s="515">
        <v>1042.28</v>
      </c>
      <c r="F31" s="514" t="s">
        <v>27</v>
      </c>
      <c r="G31" s="514" t="s">
        <v>300</v>
      </c>
      <c r="H31" s="514" t="s">
        <v>278</v>
      </c>
      <c r="I31" s="516" t="s">
        <v>308</v>
      </c>
      <c r="J31" s="517"/>
      <c r="K31" s="518"/>
    </row>
    <row r="32" spans="1:11" s="519" customFormat="1" ht="37.5" customHeight="1">
      <c r="A32" s="512">
        <v>30</v>
      </c>
      <c r="B32" s="513">
        <v>43004</v>
      </c>
      <c r="C32" s="514" t="s">
        <v>613</v>
      </c>
      <c r="D32" s="514" t="s">
        <v>618</v>
      </c>
      <c r="E32" s="515">
        <v>24</v>
      </c>
      <c r="F32" s="514" t="s">
        <v>115</v>
      </c>
      <c r="G32" s="514" t="s">
        <v>0</v>
      </c>
      <c r="H32" s="514" t="s">
        <v>278</v>
      </c>
      <c r="I32" s="516" t="s">
        <v>308</v>
      </c>
      <c r="J32" s="517"/>
      <c r="K32" s="518"/>
    </row>
    <row r="33" spans="1:11" s="519" customFormat="1" ht="37.5" customHeight="1">
      <c r="A33" s="512">
        <v>31</v>
      </c>
      <c r="B33" s="513">
        <v>43017</v>
      </c>
      <c r="C33" s="514" t="s">
        <v>615</v>
      </c>
      <c r="D33" s="514" t="s">
        <v>593</v>
      </c>
      <c r="E33" s="515">
        <v>500</v>
      </c>
      <c r="F33" s="514" t="s">
        <v>115</v>
      </c>
      <c r="G33" s="514" t="s">
        <v>0</v>
      </c>
      <c r="H33" s="514" t="s">
        <v>278</v>
      </c>
      <c r="I33" s="516" t="s">
        <v>308</v>
      </c>
      <c r="J33" s="517"/>
      <c r="K33" s="518"/>
    </row>
    <row r="34" spans="1:11" ht="37.5" customHeight="1">
      <c r="A34" s="512">
        <v>32</v>
      </c>
      <c r="B34" s="513">
        <v>43019</v>
      </c>
      <c r="C34" s="514" t="s">
        <v>610</v>
      </c>
      <c r="D34" s="514" t="s">
        <v>426</v>
      </c>
      <c r="E34" s="515">
        <v>120937.5</v>
      </c>
      <c r="F34" s="514" t="s">
        <v>38</v>
      </c>
      <c r="G34" s="514" t="s">
        <v>183</v>
      </c>
      <c r="H34" s="514" t="s">
        <v>278</v>
      </c>
      <c r="I34" s="516" t="s">
        <v>448</v>
      </c>
      <c r="J34" s="521"/>
      <c r="K34" s="522"/>
    </row>
    <row r="35" spans="1:11" ht="37.5" customHeight="1">
      <c r="A35" s="512">
        <v>33</v>
      </c>
      <c r="B35" s="513">
        <v>43052</v>
      </c>
      <c r="C35" s="514" t="s">
        <v>704</v>
      </c>
      <c r="D35" s="514" t="s">
        <v>426</v>
      </c>
      <c r="E35" s="515">
        <v>222720</v>
      </c>
      <c r="F35" s="514" t="s">
        <v>38</v>
      </c>
      <c r="G35" s="514" t="s">
        <v>183</v>
      </c>
      <c r="H35" s="514" t="s">
        <v>278</v>
      </c>
      <c r="I35" s="516" t="s">
        <v>713</v>
      </c>
      <c r="J35" s="521"/>
      <c r="K35" s="522"/>
    </row>
    <row r="36" spans="1:11" ht="37.5" customHeight="1">
      <c r="A36" s="512">
        <v>34</v>
      </c>
      <c r="B36" s="513">
        <v>43054</v>
      </c>
      <c r="C36" s="514" t="s">
        <v>705</v>
      </c>
      <c r="D36" s="514" t="s">
        <v>488</v>
      </c>
      <c r="E36" s="515">
        <v>1575</v>
      </c>
      <c r="F36" s="514" t="s">
        <v>27</v>
      </c>
      <c r="G36" s="514" t="s">
        <v>300</v>
      </c>
      <c r="H36" s="514" t="s">
        <v>278</v>
      </c>
      <c r="I36" s="516" t="s">
        <v>308</v>
      </c>
      <c r="J36" s="521"/>
      <c r="K36" s="522"/>
    </row>
    <row r="37" spans="1:11" ht="37.5" customHeight="1">
      <c r="A37" s="512">
        <v>35</v>
      </c>
      <c r="B37" s="513">
        <v>43056</v>
      </c>
      <c r="C37" s="514" t="s">
        <v>759</v>
      </c>
      <c r="D37" s="514" t="s">
        <v>723</v>
      </c>
      <c r="E37" s="515">
        <v>2432.953125</v>
      </c>
      <c r="F37" s="514" t="s">
        <v>27</v>
      </c>
      <c r="G37" s="514" t="s">
        <v>300</v>
      </c>
      <c r="H37" s="514" t="s">
        <v>278</v>
      </c>
      <c r="I37" s="516" t="s">
        <v>308</v>
      </c>
      <c r="J37" s="521"/>
      <c r="K37" s="522"/>
    </row>
    <row r="38" spans="1:11" ht="37.5" customHeight="1">
      <c r="A38" s="512">
        <v>36</v>
      </c>
      <c r="B38" s="513">
        <v>43067</v>
      </c>
      <c r="C38" s="514" t="s">
        <v>706</v>
      </c>
      <c r="D38" s="514" t="s">
        <v>426</v>
      </c>
      <c r="E38" s="515">
        <v>435937.5</v>
      </c>
      <c r="F38" s="514" t="s">
        <v>38</v>
      </c>
      <c r="G38" s="514" t="s">
        <v>183</v>
      </c>
      <c r="H38" s="514" t="s">
        <v>278</v>
      </c>
      <c r="I38" s="516" t="s">
        <v>712</v>
      </c>
      <c r="J38" s="521"/>
      <c r="K38" s="522"/>
    </row>
    <row r="39" spans="1:11" ht="37.5" customHeight="1">
      <c r="A39" s="512">
        <v>37</v>
      </c>
      <c r="B39" s="513">
        <v>43084</v>
      </c>
      <c r="C39" s="514" t="s">
        <v>707</v>
      </c>
      <c r="D39" s="514" t="s">
        <v>711</v>
      </c>
      <c r="E39" s="515">
        <v>4000</v>
      </c>
      <c r="F39" s="514" t="s">
        <v>201</v>
      </c>
      <c r="G39" s="514" t="s">
        <v>202</v>
      </c>
      <c r="H39" s="514" t="s">
        <v>278</v>
      </c>
      <c r="I39" s="516" t="s">
        <v>308</v>
      </c>
      <c r="J39" s="521"/>
      <c r="K39" s="522"/>
    </row>
    <row r="40" spans="1:11" ht="37.5" customHeight="1">
      <c r="A40" s="512">
        <v>38</v>
      </c>
      <c r="B40" s="513">
        <v>43089</v>
      </c>
      <c r="C40" s="514" t="s">
        <v>759</v>
      </c>
      <c r="D40" s="514" t="s">
        <v>723</v>
      </c>
      <c r="E40" s="515">
        <v>486.590625</v>
      </c>
      <c r="F40" s="514" t="s">
        <v>27</v>
      </c>
      <c r="G40" s="514" t="s">
        <v>300</v>
      </c>
      <c r="H40" s="514" t="s">
        <v>278</v>
      </c>
      <c r="I40" s="516" t="s">
        <v>308</v>
      </c>
      <c r="J40" s="521"/>
      <c r="K40" s="522"/>
    </row>
    <row r="41" spans="1:11" ht="37.5" customHeight="1">
      <c r="A41" s="512">
        <v>39</v>
      </c>
      <c r="B41" s="513">
        <v>43089</v>
      </c>
      <c r="C41" s="514" t="s">
        <v>760</v>
      </c>
      <c r="D41" s="514" t="s">
        <v>460</v>
      </c>
      <c r="E41" s="515">
        <v>697.148430768534</v>
      </c>
      <c r="F41" s="514" t="s">
        <v>27</v>
      </c>
      <c r="G41" s="514" t="s">
        <v>300</v>
      </c>
      <c r="H41" s="514" t="s">
        <v>278</v>
      </c>
      <c r="I41" s="516" t="s">
        <v>308</v>
      </c>
      <c r="J41" s="521"/>
      <c r="K41" s="522"/>
    </row>
    <row r="42" spans="1:11" ht="37.5" customHeight="1">
      <c r="A42" s="512">
        <v>40</v>
      </c>
      <c r="B42" s="513">
        <v>43089</v>
      </c>
      <c r="C42" s="514" t="s">
        <v>761</v>
      </c>
      <c r="D42" s="514" t="s">
        <v>460</v>
      </c>
      <c r="E42" s="515">
        <v>464.77</v>
      </c>
      <c r="F42" s="514" t="s">
        <v>27</v>
      </c>
      <c r="G42" s="514" t="s">
        <v>300</v>
      </c>
      <c r="H42" s="514" t="s">
        <v>278</v>
      </c>
      <c r="I42" s="516" t="s">
        <v>308</v>
      </c>
      <c r="J42" s="521"/>
      <c r="K42" s="522"/>
    </row>
    <row r="43" spans="1:11" ht="37.5" customHeight="1">
      <c r="A43" s="512">
        <v>41</v>
      </c>
      <c r="B43" s="513">
        <v>43089</v>
      </c>
      <c r="C43" s="514" t="s">
        <v>762</v>
      </c>
      <c r="D43" s="514" t="s">
        <v>460</v>
      </c>
      <c r="E43" s="515">
        <v>3332.8125</v>
      </c>
      <c r="F43" s="514" t="s">
        <v>27</v>
      </c>
      <c r="G43" s="514" t="s">
        <v>300</v>
      </c>
      <c r="H43" s="514" t="s">
        <v>278</v>
      </c>
      <c r="I43" s="516" t="s">
        <v>308</v>
      </c>
      <c r="J43" s="521"/>
      <c r="K43" s="522"/>
    </row>
    <row r="44" spans="1:11" ht="37.5" customHeight="1">
      <c r="A44" s="512">
        <v>42</v>
      </c>
      <c r="B44" s="513">
        <v>43100</v>
      </c>
      <c r="C44" s="514" t="s">
        <v>708</v>
      </c>
      <c r="D44" s="514" t="s">
        <v>646</v>
      </c>
      <c r="E44" s="515">
        <v>1.28</v>
      </c>
      <c r="F44" s="514" t="s">
        <v>23</v>
      </c>
      <c r="G44" s="514" t="s">
        <v>97</v>
      </c>
      <c r="H44" s="514" t="s">
        <v>278</v>
      </c>
      <c r="I44" s="516" t="s">
        <v>308</v>
      </c>
      <c r="J44" s="521"/>
      <c r="K44" s="522"/>
    </row>
    <row r="45" spans="1:11" ht="37.5" customHeight="1">
      <c r="A45" s="512">
        <v>43</v>
      </c>
      <c r="B45" s="513">
        <v>43100</v>
      </c>
      <c r="C45" s="514" t="s">
        <v>708</v>
      </c>
      <c r="D45" s="514" t="s">
        <v>646</v>
      </c>
      <c r="E45" s="515">
        <v>2.21</v>
      </c>
      <c r="F45" s="514" t="s">
        <v>23</v>
      </c>
      <c r="G45" s="514" t="s">
        <v>97</v>
      </c>
      <c r="H45" s="514" t="s">
        <v>278</v>
      </c>
      <c r="I45" s="516" t="s">
        <v>308</v>
      </c>
      <c r="J45" s="521"/>
      <c r="K45" s="522"/>
    </row>
    <row r="46" spans="1:11" ht="37.5" customHeight="1">
      <c r="A46" s="520"/>
      <c r="B46" s="513"/>
      <c r="C46" s="514"/>
      <c r="D46" s="514"/>
      <c r="E46" s="515"/>
      <c r="F46" s="514"/>
      <c r="G46" s="514"/>
      <c r="H46" s="514"/>
      <c r="I46" s="516"/>
      <c r="J46" s="521"/>
      <c r="K46" s="522"/>
    </row>
    <row r="47" spans="1:11" ht="37.5" customHeight="1">
      <c r="A47" s="520"/>
      <c r="B47" s="513"/>
      <c r="C47" s="514"/>
      <c r="D47" s="514"/>
      <c r="E47" s="515">
        <f>SUM(E3:E46)</f>
        <v>1175832.2310807686</v>
      </c>
      <c r="F47" s="514"/>
      <c r="G47" s="514"/>
      <c r="H47" s="514"/>
      <c r="I47" s="516"/>
      <c r="J47" s="521"/>
      <c r="K47" s="522"/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75" r:id="rId1"/>
  <headerFooter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2"/>
  <sheetViews>
    <sheetView zoomScale="95" zoomScaleNormal="95" workbookViewId="0" topLeftCell="C28">
      <selection activeCell="E38" sqref="E38"/>
    </sheetView>
  </sheetViews>
  <sheetFormatPr defaultColWidth="9.140625" defaultRowHeight="12.75" outlineLevelRow="2"/>
  <cols>
    <col min="1" max="1" width="6.7109375" style="438" customWidth="1"/>
    <col min="2" max="2" width="15.57421875" style="421" bestFit="1" customWidth="1"/>
    <col min="3" max="3" width="124.28125" style="0" customWidth="1"/>
    <col min="4" max="4" width="19.8515625" style="0" customWidth="1"/>
    <col min="5" max="5" width="21.7109375" style="439" bestFit="1" customWidth="1"/>
    <col min="6" max="6" width="12.421875" style="0" bestFit="1" customWidth="1"/>
    <col min="7" max="7" width="43.00390625" style="0" bestFit="1" customWidth="1"/>
    <col min="8" max="8" width="9.140625" style="50" customWidth="1"/>
    <col min="9" max="9" width="22.28125" style="50" bestFit="1" customWidth="1"/>
    <col min="10" max="10" width="13.57421875" style="0" bestFit="1" customWidth="1"/>
    <col min="11" max="11" width="14.8515625" style="0" bestFit="1" customWidth="1"/>
    <col min="12" max="12" width="11.00390625" style="0" bestFit="1" customWidth="1"/>
  </cols>
  <sheetData>
    <row r="1" spans="1:9" ht="37.5" customHeight="1">
      <c r="A1" s="613" t="s">
        <v>430</v>
      </c>
      <c r="B1" s="613"/>
      <c r="C1" s="613"/>
      <c r="D1" s="613"/>
      <c r="E1" s="613"/>
      <c r="F1" s="613"/>
      <c r="G1" s="613"/>
      <c r="H1" s="613"/>
      <c r="I1" s="613"/>
    </row>
    <row r="2" spans="1:9" ht="31.5">
      <c r="A2" s="512" t="s">
        <v>264</v>
      </c>
      <c r="B2" s="541" t="s">
        <v>265</v>
      </c>
      <c r="C2" s="542" t="s">
        <v>214</v>
      </c>
      <c r="D2" s="542" t="s">
        <v>220</v>
      </c>
      <c r="E2" s="524" t="s">
        <v>211</v>
      </c>
      <c r="F2" s="542" t="s">
        <v>212</v>
      </c>
      <c r="G2" s="542" t="s">
        <v>213</v>
      </c>
      <c r="H2" s="542" t="s">
        <v>266</v>
      </c>
      <c r="I2" s="543" t="s">
        <v>273</v>
      </c>
    </row>
    <row r="3" spans="1:9" ht="45.75" outlineLevel="2">
      <c r="A3" s="512">
        <v>37</v>
      </c>
      <c r="B3" s="513">
        <v>43084</v>
      </c>
      <c r="C3" s="514" t="s">
        <v>707</v>
      </c>
      <c r="D3" s="514" t="s">
        <v>711</v>
      </c>
      <c r="E3" s="515">
        <v>4000</v>
      </c>
      <c r="F3" s="514" t="s">
        <v>201</v>
      </c>
      <c r="G3" s="514" t="s">
        <v>202</v>
      </c>
      <c r="H3" s="514" t="s">
        <v>278</v>
      </c>
      <c r="I3" s="516" t="s">
        <v>308</v>
      </c>
    </row>
    <row r="4" spans="1:9" s="52" customFormat="1" ht="31.5" outlineLevel="1">
      <c r="A4" s="512"/>
      <c r="B4" s="541"/>
      <c r="C4" s="542"/>
      <c r="D4" s="542"/>
      <c r="E4" s="524">
        <f>SUBTOTAL(9,E3:E3)</f>
        <v>4000</v>
      </c>
      <c r="F4" s="512" t="s">
        <v>782</v>
      </c>
      <c r="G4" s="542" t="s">
        <v>202</v>
      </c>
      <c r="H4" s="542"/>
      <c r="I4" s="543">
        <f>SUBTOTAL(9,I3:I3)</f>
        <v>0</v>
      </c>
    </row>
    <row r="5" spans="1:9" ht="30.75" outlineLevel="2">
      <c r="A5" s="512">
        <v>18</v>
      </c>
      <c r="B5" s="549">
        <v>42863</v>
      </c>
      <c r="C5" s="550" t="s">
        <v>708</v>
      </c>
      <c r="D5" s="550" t="s">
        <v>732</v>
      </c>
      <c r="E5" s="551">
        <f>111+222+111+111+222+333</f>
        <v>1110</v>
      </c>
      <c r="F5" s="588" t="s">
        <v>23</v>
      </c>
      <c r="G5" s="550" t="s">
        <v>97</v>
      </c>
      <c r="H5" s="550" t="s">
        <v>278</v>
      </c>
      <c r="I5" s="553" t="s">
        <v>308</v>
      </c>
    </row>
    <row r="6" spans="1:9" ht="30.75" outlineLevel="2">
      <c r="A6" s="512">
        <v>28</v>
      </c>
      <c r="B6" s="544">
        <v>42993</v>
      </c>
      <c r="C6" s="545" t="s">
        <v>647</v>
      </c>
      <c r="D6" s="545" t="s">
        <v>646</v>
      </c>
      <c r="E6" s="546">
        <v>0.09</v>
      </c>
      <c r="F6" s="547" t="s">
        <v>23</v>
      </c>
      <c r="G6" s="547" t="s">
        <v>97</v>
      </c>
      <c r="H6" s="545" t="s">
        <v>278</v>
      </c>
      <c r="I6" s="548" t="s">
        <v>358</v>
      </c>
    </row>
    <row r="7" spans="1:9" ht="30.75" outlineLevel="2">
      <c r="A7" s="512">
        <v>42</v>
      </c>
      <c r="B7" s="513">
        <v>43100</v>
      </c>
      <c r="C7" s="514" t="s">
        <v>708</v>
      </c>
      <c r="D7" s="514" t="s">
        <v>646</v>
      </c>
      <c r="E7" s="515">
        <v>1.28</v>
      </c>
      <c r="F7" s="514" t="s">
        <v>23</v>
      </c>
      <c r="G7" s="514" t="s">
        <v>97</v>
      </c>
      <c r="H7" s="514" t="s">
        <v>278</v>
      </c>
      <c r="I7" s="516" t="s">
        <v>308</v>
      </c>
    </row>
    <row r="8" spans="1:9" ht="30.75" outlineLevel="2">
      <c r="A8" s="512">
        <v>43</v>
      </c>
      <c r="B8" s="513">
        <v>43100</v>
      </c>
      <c r="C8" s="514" t="s">
        <v>708</v>
      </c>
      <c r="D8" s="514" t="s">
        <v>646</v>
      </c>
      <c r="E8" s="515">
        <v>2.21</v>
      </c>
      <c r="F8" s="514" t="s">
        <v>23</v>
      </c>
      <c r="G8" s="514" t="s">
        <v>97</v>
      </c>
      <c r="H8" s="514" t="s">
        <v>278</v>
      </c>
      <c r="I8" s="516" t="s">
        <v>308</v>
      </c>
    </row>
    <row r="9" spans="1:9" s="52" customFormat="1" ht="31.5" outlineLevel="1">
      <c r="A9" s="512"/>
      <c r="B9" s="541"/>
      <c r="C9" s="542"/>
      <c r="D9" s="542"/>
      <c r="E9" s="524">
        <f>SUBTOTAL(9,E5:E8)</f>
        <v>1113.58</v>
      </c>
      <c r="F9" s="542" t="s">
        <v>783</v>
      </c>
      <c r="G9" s="542" t="s">
        <v>97</v>
      </c>
      <c r="H9" s="542"/>
      <c r="I9" s="543">
        <f>SUBTOTAL(9,I5:I8)</f>
        <v>0</v>
      </c>
    </row>
    <row r="10" spans="1:9" ht="30.75" outlineLevel="2">
      <c r="A10" s="512">
        <v>13</v>
      </c>
      <c r="B10" s="513">
        <v>42832</v>
      </c>
      <c r="C10" s="514" t="s">
        <v>490</v>
      </c>
      <c r="D10" s="514" t="s">
        <v>425</v>
      </c>
      <c r="E10" s="515">
        <v>3000</v>
      </c>
      <c r="F10" s="514" t="s">
        <v>27</v>
      </c>
      <c r="G10" s="514" t="s">
        <v>300</v>
      </c>
      <c r="H10" s="514" t="s">
        <v>279</v>
      </c>
      <c r="I10" s="516" t="s">
        <v>308</v>
      </c>
    </row>
    <row r="11" spans="1:10" ht="30.75" outlineLevel="2">
      <c r="A11" s="512">
        <v>24</v>
      </c>
      <c r="B11" s="513">
        <v>42971</v>
      </c>
      <c r="C11" s="514" t="s">
        <v>648</v>
      </c>
      <c r="D11" s="514" t="s">
        <v>268</v>
      </c>
      <c r="E11" s="515">
        <f>accertamenti!D42</f>
        <v>6276.8</v>
      </c>
      <c r="F11" s="514" t="s">
        <v>27</v>
      </c>
      <c r="G11" s="514" t="s">
        <v>300</v>
      </c>
      <c r="H11" s="514" t="s">
        <v>279</v>
      </c>
      <c r="I11" s="516" t="s">
        <v>308</v>
      </c>
      <c r="J11" s="439">
        <f>E10+E11</f>
        <v>9276.8</v>
      </c>
    </row>
    <row r="12" spans="1:9" ht="30.75" outlineLevel="2">
      <c r="A12" s="512">
        <v>5</v>
      </c>
      <c r="B12" s="513">
        <v>42779</v>
      </c>
      <c r="C12" s="514" t="s">
        <v>671</v>
      </c>
      <c r="D12" s="514" t="s">
        <v>460</v>
      </c>
      <c r="E12" s="515">
        <f>38730.47*3/100</f>
        <v>1161.9141</v>
      </c>
      <c r="F12" s="514" t="s">
        <v>27</v>
      </c>
      <c r="G12" s="514" t="s">
        <v>300</v>
      </c>
      <c r="H12" s="514" t="s">
        <v>278</v>
      </c>
      <c r="I12" s="516" t="s">
        <v>308</v>
      </c>
    </row>
    <row r="13" spans="1:9" ht="30.75" outlineLevel="2">
      <c r="A13" s="512">
        <v>6</v>
      </c>
      <c r="B13" s="513">
        <v>42779</v>
      </c>
      <c r="C13" s="514" t="s">
        <v>672</v>
      </c>
      <c r="D13" s="514" t="s">
        <v>460</v>
      </c>
      <c r="E13" s="515">
        <f>17472.66*3/100</f>
        <v>524.1798</v>
      </c>
      <c r="F13" s="514" t="s">
        <v>27</v>
      </c>
      <c r="G13" s="514" t="s">
        <v>300</v>
      </c>
      <c r="H13" s="514" t="s">
        <v>278</v>
      </c>
      <c r="I13" s="516" t="s">
        <v>308</v>
      </c>
    </row>
    <row r="14" spans="1:9" ht="30.75" outlineLevel="2">
      <c r="A14" s="512">
        <v>7</v>
      </c>
      <c r="B14" s="513">
        <v>42779</v>
      </c>
      <c r="C14" s="514" t="s">
        <v>673</v>
      </c>
      <c r="D14" s="514" t="s">
        <v>460</v>
      </c>
      <c r="E14" s="515">
        <f>46093.75*3/100</f>
        <v>1382.8125</v>
      </c>
      <c r="F14" s="514" t="s">
        <v>27</v>
      </c>
      <c r="G14" s="514" t="s">
        <v>300</v>
      </c>
      <c r="H14" s="514" t="s">
        <v>278</v>
      </c>
      <c r="I14" s="516" t="s">
        <v>308</v>
      </c>
    </row>
    <row r="15" spans="1:9" ht="30.75" outlineLevel="2">
      <c r="A15" s="512">
        <v>8</v>
      </c>
      <c r="B15" s="513">
        <v>42779</v>
      </c>
      <c r="C15" s="514" t="s">
        <v>674</v>
      </c>
      <c r="D15" s="514" t="s">
        <v>460</v>
      </c>
      <c r="E15" s="515">
        <v>8081</v>
      </c>
      <c r="F15" s="514" t="s">
        <v>27</v>
      </c>
      <c r="G15" s="514" t="s">
        <v>300</v>
      </c>
      <c r="H15" s="514" t="s">
        <v>278</v>
      </c>
      <c r="I15" s="516" t="s">
        <v>625</v>
      </c>
    </row>
    <row r="16" spans="1:9" ht="30.75" outlineLevel="2">
      <c r="A16" s="512">
        <v>10</v>
      </c>
      <c r="B16" s="544">
        <v>42814</v>
      </c>
      <c r="C16" s="545" t="s">
        <v>607</v>
      </c>
      <c r="D16" s="545" t="s">
        <v>268</v>
      </c>
      <c r="E16" s="546">
        <v>2000</v>
      </c>
      <c r="F16" s="547" t="s">
        <v>27</v>
      </c>
      <c r="G16" s="547" t="s">
        <v>300</v>
      </c>
      <c r="H16" s="545" t="s">
        <v>278</v>
      </c>
      <c r="I16" s="548" t="s">
        <v>358</v>
      </c>
    </row>
    <row r="17" spans="1:9" ht="30.75" outlineLevel="2">
      <c r="A17" s="512">
        <v>16</v>
      </c>
      <c r="B17" s="549">
        <v>42843</v>
      </c>
      <c r="C17" s="550" t="s">
        <v>505</v>
      </c>
      <c r="D17" s="550" t="s">
        <v>268</v>
      </c>
      <c r="E17" s="551">
        <v>100500</v>
      </c>
      <c r="F17" s="550" t="s">
        <v>27</v>
      </c>
      <c r="G17" s="550" t="s">
        <v>300</v>
      </c>
      <c r="H17" s="550" t="s">
        <v>278</v>
      </c>
      <c r="I17" s="553" t="s">
        <v>308</v>
      </c>
    </row>
    <row r="18" spans="1:9" ht="75.75" outlineLevel="2">
      <c r="A18" s="512">
        <v>17</v>
      </c>
      <c r="B18" s="513">
        <v>42844</v>
      </c>
      <c r="C18" s="514" t="s">
        <v>602</v>
      </c>
      <c r="D18" s="514" t="s">
        <v>487</v>
      </c>
      <c r="E18" s="515">
        <v>2000</v>
      </c>
      <c r="F18" s="514" t="s">
        <v>27</v>
      </c>
      <c r="G18" s="514" t="s">
        <v>300</v>
      </c>
      <c r="H18" s="514" t="s">
        <v>278</v>
      </c>
      <c r="I18" s="516" t="s">
        <v>308</v>
      </c>
    </row>
    <row r="19" spans="1:9" ht="30.75" outlineLevel="2">
      <c r="A19" s="512">
        <v>20</v>
      </c>
      <c r="B19" s="513">
        <v>42880</v>
      </c>
      <c r="C19" s="514" t="s">
        <v>486</v>
      </c>
      <c r="D19" s="514" t="s">
        <v>488</v>
      </c>
      <c r="E19" s="515">
        <v>7500</v>
      </c>
      <c r="F19" s="514" t="s">
        <v>27</v>
      </c>
      <c r="G19" s="514" t="s">
        <v>300</v>
      </c>
      <c r="H19" s="514" t="s">
        <v>278</v>
      </c>
      <c r="I19" s="516" t="s">
        <v>301</v>
      </c>
    </row>
    <row r="20" spans="1:9" ht="30.75" outlineLevel="2">
      <c r="A20" s="512">
        <v>21</v>
      </c>
      <c r="B20" s="513">
        <v>42899</v>
      </c>
      <c r="C20" s="514" t="s">
        <v>491</v>
      </c>
      <c r="D20" s="514" t="s">
        <v>425</v>
      </c>
      <c r="E20" s="515">
        <v>4537.5</v>
      </c>
      <c r="F20" s="514" t="s">
        <v>27</v>
      </c>
      <c r="G20" s="514" t="s">
        <v>300</v>
      </c>
      <c r="H20" s="514" t="s">
        <v>278</v>
      </c>
      <c r="I20" s="516" t="s">
        <v>301</v>
      </c>
    </row>
    <row r="21" spans="1:9" ht="30.75" outlineLevel="2">
      <c r="A21" s="512">
        <v>23</v>
      </c>
      <c r="B21" s="513">
        <v>42971</v>
      </c>
      <c r="C21" s="514" t="s">
        <v>709</v>
      </c>
      <c r="D21" s="514" t="s">
        <v>268</v>
      </c>
      <c r="E21" s="515">
        <f>26000+9234.96-accertamenti!D42</f>
        <v>28958.16</v>
      </c>
      <c r="F21" s="514" t="s">
        <v>27</v>
      </c>
      <c r="G21" s="514" t="s">
        <v>300</v>
      </c>
      <c r="H21" s="514" t="s">
        <v>278</v>
      </c>
      <c r="I21" s="516" t="s">
        <v>308</v>
      </c>
    </row>
    <row r="22" spans="1:9" ht="30.75" outlineLevel="2">
      <c r="A22" s="512">
        <v>25</v>
      </c>
      <c r="B22" s="513">
        <v>42978</v>
      </c>
      <c r="C22" s="514" t="s">
        <v>622</v>
      </c>
      <c r="D22" s="514" t="s">
        <v>268</v>
      </c>
      <c r="E22" s="515">
        <v>8081</v>
      </c>
      <c r="F22" s="586" t="s">
        <v>27</v>
      </c>
      <c r="G22" s="514" t="s">
        <v>300</v>
      </c>
      <c r="H22" s="514" t="s">
        <v>278</v>
      </c>
      <c r="I22" s="516" t="s">
        <v>625</v>
      </c>
    </row>
    <row r="23" spans="1:9" ht="30.75" outlineLevel="2">
      <c r="A23" s="512">
        <v>26</v>
      </c>
      <c r="B23" s="513">
        <v>42978</v>
      </c>
      <c r="C23" s="514" t="s">
        <v>710</v>
      </c>
      <c r="D23" s="514" t="s">
        <v>268</v>
      </c>
      <c r="E23" s="515">
        <v>1300</v>
      </c>
      <c r="F23" s="514" t="s">
        <v>27</v>
      </c>
      <c r="G23" s="514" t="s">
        <v>300</v>
      </c>
      <c r="H23" s="514" t="s">
        <v>278</v>
      </c>
      <c r="I23" s="516" t="s">
        <v>429</v>
      </c>
    </row>
    <row r="24" spans="1:9" ht="30.75" outlineLevel="2">
      <c r="A24" s="512">
        <v>27</v>
      </c>
      <c r="B24" s="513">
        <v>42978</v>
      </c>
      <c r="C24" s="514" t="s">
        <v>624</v>
      </c>
      <c r="D24" s="514" t="s">
        <v>268</v>
      </c>
      <c r="E24" s="515">
        <v>4537.5</v>
      </c>
      <c r="F24" s="514" t="s">
        <v>27</v>
      </c>
      <c r="G24" s="514" t="s">
        <v>300</v>
      </c>
      <c r="H24" s="514" t="s">
        <v>278</v>
      </c>
      <c r="I24" s="516" t="s">
        <v>308</v>
      </c>
    </row>
    <row r="25" spans="1:9" ht="30.75" outlineLevel="2">
      <c r="A25" s="512">
        <v>29</v>
      </c>
      <c r="B25" s="513">
        <v>42993</v>
      </c>
      <c r="C25" s="514" t="s">
        <v>609</v>
      </c>
      <c r="D25" s="514" t="s">
        <v>268</v>
      </c>
      <c r="E25" s="515">
        <v>1042.28</v>
      </c>
      <c r="F25" s="514" t="s">
        <v>27</v>
      </c>
      <c r="G25" s="514" t="s">
        <v>300</v>
      </c>
      <c r="H25" s="514" t="s">
        <v>278</v>
      </c>
      <c r="I25" s="516" t="s">
        <v>308</v>
      </c>
    </row>
    <row r="26" spans="1:9" ht="30.75" outlineLevel="2">
      <c r="A26" s="512">
        <v>34</v>
      </c>
      <c r="B26" s="585">
        <v>43054</v>
      </c>
      <c r="C26" s="586" t="s">
        <v>705</v>
      </c>
      <c r="D26" s="586" t="s">
        <v>488</v>
      </c>
      <c r="E26" s="587">
        <v>1575</v>
      </c>
      <c r="F26" s="514" t="s">
        <v>27</v>
      </c>
      <c r="G26" s="514" t="s">
        <v>300</v>
      </c>
      <c r="H26" s="586" t="s">
        <v>278</v>
      </c>
      <c r="I26" s="586" t="s">
        <v>308</v>
      </c>
    </row>
    <row r="27" spans="1:9" ht="30.75" outlineLevel="2">
      <c r="A27" s="512">
        <v>35</v>
      </c>
      <c r="B27" s="513">
        <v>43056</v>
      </c>
      <c r="C27" s="514" t="s">
        <v>759</v>
      </c>
      <c r="D27" s="514" t="s">
        <v>723</v>
      </c>
      <c r="E27" s="515">
        <v>2432.953125</v>
      </c>
      <c r="F27" s="514" t="s">
        <v>27</v>
      </c>
      <c r="G27" s="514" t="s">
        <v>300</v>
      </c>
      <c r="H27" s="514" t="s">
        <v>278</v>
      </c>
      <c r="I27" s="516" t="s">
        <v>308</v>
      </c>
    </row>
    <row r="28" spans="1:9" ht="30.75" outlineLevel="2">
      <c r="A28" s="512">
        <v>38</v>
      </c>
      <c r="B28" s="513">
        <v>43089</v>
      </c>
      <c r="C28" s="514" t="s">
        <v>759</v>
      </c>
      <c r="D28" s="514" t="s">
        <v>723</v>
      </c>
      <c r="E28" s="515">
        <v>486.590625</v>
      </c>
      <c r="F28" s="514" t="s">
        <v>27</v>
      </c>
      <c r="G28" s="514" t="s">
        <v>300</v>
      </c>
      <c r="H28" s="514" t="s">
        <v>278</v>
      </c>
      <c r="I28" s="516" t="s">
        <v>308</v>
      </c>
    </row>
    <row r="29" spans="1:9" ht="30.75" outlineLevel="2">
      <c r="A29" s="512">
        <v>39</v>
      </c>
      <c r="B29" s="513">
        <v>43089</v>
      </c>
      <c r="C29" s="514" t="s">
        <v>760</v>
      </c>
      <c r="D29" s="514" t="s">
        <v>460</v>
      </c>
      <c r="E29" s="515">
        <v>697.148430768534</v>
      </c>
      <c r="F29" s="514" t="s">
        <v>27</v>
      </c>
      <c r="G29" s="514" t="s">
        <v>300</v>
      </c>
      <c r="H29" s="514" t="s">
        <v>278</v>
      </c>
      <c r="I29" s="516" t="s">
        <v>308</v>
      </c>
    </row>
    <row r="30" spans="1:9" ht="30.75" outlineLevel="2">
      <c r="A30" s="512">
        <v>40</v>
      </c>
      <c r="B30" s="513">
        <v>43089</v>
      </c>
      <c r="C30" s="514" t="s">
        <v>761</v>
      </c>
      <c r="D30" s="514" t="s">
        <v>460</v>
      </c>
      <c r="E30" s="515">
        <v>464.77</v>
      </c>
      <c r="F30" s="514" t="s">
        <v>27</v>
      </c>
      <c r="G30" s="514" t="s">
        <v>300</v>
      </c>
      <c r="H30" s="514" t="s">
        <v>278</v>
      </c>
      <c r="I30" s="516" t="s">
        <v>308</v>
      </c>
    </row>
    <row r="31" spans="1:10" ht="30.75" outlineLevel="2">
      <c r="A31" s="512">
        <v>41</v>
      </c>
      <c r="B31" s="513">
        <v>43089</v>
      </c>
      <c r="C31" s="514" t="s">
        <v>762</v>
      </c>
      <c r="D31" s="514" t="s">
        <v>460</v>
      </c>
      <c r="E31" s="515">
        <v>3332.8125</v>
      </c>
      <c r="F31" s="514" t="s">
        <v>27</v>
      </c>
      <c r="G31" s="514" t="s">
        <v>300</v>
      </c>
      <c r="H31" s="514" t="s">
        <v>278</v>
      </c>
      <c r="I31" s="516" t="s">
        <v>308</v>
      </c>
      <c r="J31" s="439">
        <f>SUM(E12:E31)</f>
        <v>180595.62108076856</v>
      </c>
    </row>
    <row r="32" spans="1:10" s="52" customFormat="1" ht="31.5" outlineLevel="1">
      <c r="A32" s="512"/>
      <c r="B32" s="541"/>
      <c r="C32" s="542"/>
      <c r="D32" s="542"/>
      <c r="E32" s="524">
        <f>SUBTOTAL(9,E10:E31)</f>
        <v>189872.42108076854</v>
      </c>
      <c r="F32" s="542" t="s">
        <v>784</v>
      </c>
      <c r="G32" s="542" t="s">
        <v>300</v>
      </c>
      <c r="H32" s="542"/>
      <c r="I32" s="599">
        <f>SUBTOTAL(9,I10:I31)</f>
        <v>0</v>
      </c>
      <c r="J32" s="600">
        <f>J31+J11</f>
        <v>189872.42108076854</v>
      </c>
    </row>
    <row r="33" spans="1:9" ht="30.75" outlineLevel="2">
      <c r="A33" s="512">
        <v>3</v>
      </c>
      <c r="B33" s="585">
        <v>42752</v>
      </c>
      <c r="C33" s="586" t="s">
        <v>489</v>
      </c>
      <c r="D33" s="586" t="s">
        <v>426</v>
      </c>
      <c r="E33" s="587">
        <v>165937.5</v>
      </c>
      <c r="F33" s="514" t="s">
        <v>38</v>
      </c>
      <c r="G33" s="514" t="s">
        <v>183</v>
      </c>
      <c r="H33" s="586" t="s">
        <v>278</v>
      </c>
      <c r="I33" s="586" t="s">
        <v>492</v>
      </c>
    </row>
    <row r="34" spans="1:9" ht="30.75" outlineLevel="2">
      <c r="A34" s="512">
        <v>22</v>
      </c>
      <c r="B34" s="544">
        <v>42936</v>
      </c>
      <c r="C34" s="545" t="s">
        <v>608</v>
      </c>
      <c r="D34" s="545" t="s">
        <v>428</v>
      </c>
      <c r="E34" s="546">
        <v>31938.81</v>
      </c>
      <c r="F34" s="547" t="s">
        <v>38</v>
      </c>
      <c r="G34" s="547" t="s">
        <v>183</v>
      </c>
      <c r="H34" s="545" t="s">
        <v>278</v>
      </c>
      <c r="I34" s="548" t="s">
        <v>358</v>
      </c>
    </row>
    <row r="35" spans="1:9" ht="30.75" outlineLevel="2">
      <c r="A35" s="512">
        <v>32</v>
      </c>
      <c r="B35" s="513">
        <v>43019</v>
      </c>
      <c r="C35" s="514" t="s">
        <v>610</v>
      </c>
      <c r="D35" s="514" t="s">
        <v>426</v>
      </c>
      <c r="E35" s="515">
        <v>120937.5</v>
      </c>
      <c r="F35" s="514" t="s">
        <v>38</v>
      </c>
      <c r="G35" s="514" t="s">
        <v>183</v>
      </c>
      <c r="H35" s="514" t="s">
        <v>278</v>
      </c>
      <c r="I35" s="516" t="s">
        <v>448</v>
      </c>
    </row>
    <row r="36" spans="1:9" ht="30.75" outlineLevel="2">
      <c r="A36" s="512">
        <v>33</v>
      </c>
      <c r="B36" s="513">
        <v>43052</v>
      </c>
      <c r="C36" s="514" t="s">
        <v>704</v>
      </c>
      <c r="D36" s="514" t="s">
        <v>426</v>
      </c>
      <c r="E36" s="515">
        <v>222720</v>
      </c>
      <c r="F36" s="514" t="s">
        <v>38</v>
      </c>
      <c r="G36" s="514" t="s">
        <v>183</v>
      </c>
      <c r="H36" s="514" t="s">
        <v>278</v>
      </c>
      <c r="I36" s="516" t="s">
        <v>713</v>
      </c>
    </row>
    <row r="37" spans="1:9" ht="30.75" outlineLevel="2">
      <c r="A37" s="512">
        <v>36</v>
      </c>
      <c r="B37" s="513">
        <v>43067</v>
      </c>
      <c r="C37" s="514" t="s">
        <v>706</v>
      </c>
      <c r="D37" s="514" t="s">
        <v>426</v>
      </c>
      <c r="E37" s="515">
        <v>435937.5</v>
      </c>
      <c r="F37" s="514" t="s">
        <v>38</v>
      </c>
      <c r="G37" s="514" t="s">
        <v>183</v>
      </c>
      <c r="H37" s="514" t="s">
        <v>278</v>
      </c>
      <c r="I37" s="516" t="s">
        <v>712</v>
      </c>
    </row>
    <row r="38" spans="1:9" s="52" customFormat="1" ht="31.5" outlineLevel="1">
      <c r="A38" s="512"/>
      <c r="B38" s="541"/>
      <c r="C38" s="542"/>
      <c r="D38" s="542"/>
      <c r="E38" s="524">
        <f>SUBTOTAL(9,E33:E37)</f>
        <v>977471.31</v>
      </c>
      <c r="F38" s="542" t="s">
        <v>785</v>
      </c>
      <c r="G38" s="542" t="s">
        <v>183</v>
      </c>
      <c r="H38" s="542"/>
      <c r="I38" s="543">
        <f>SUBTOTAL(9,I33:I37)</f>
        <v>0</v>
      </c>
    </row>
    <row r="39" spans="1:9" ht="30.75" outlineLevel="2">
      <c r="A39" s="512">
        <v>1</v>
      </c>
      <c r="B39" s="513">
        <v>42751</v>
      </c>
      <c r="C39" s="514" t="s">
        <v>493</v>
      </c>
      <c r="D39" s="514" t="s">
        <v>591</v>
      </c>
      <c r="E39" s="515">
        <v>410</v>
      </c>
      <c r="F39" s="514" t="s">
        <v>115</v>
      </c>
      <c r="G39" s="514" t="s">
        <v>0</v>
      </c>
      <c r="H39" s="514" t="s">
        <v>279</v>
      </c>
      <c r="I39" s="516" t="s">
        <v>308</v>
      </c>
    </row>
    <row r="40" spans="1:9" ht="30.75" outlineLevel="2">
      <c r="A40" s="512">
        <v>2</v>
      </c>
      <c r="B40" s="513">
        <v>42751</v>
      </c>
      <c r="C40" s="514" t="s">
        <v>494</v>
      </c>
      <c r="D40" s="514" t="s">
        <v>592</v>
      </c>
      <c r="E40" s="515">
        <v>300</v>
      </c>
      <c r="F40" s="514" t="s">
        <v>115</v>
      </c>
      <c r="G40" s="514" t="s">
        <v>0</v>
      </c>
      <c r="H40" s="514" t="s">
        <v>279</v>
      </c>
      <c r="I40" s="516" t="s">
        <v>308</v>
      </c>
    </row>
    <row r="41" spans="1:10" ht="30.75" outlineLevel="2">
      <c r="A41" s="512">
        <v>4</v>
      </c>
      <c r="B41" s="513">
        <v>42765</v>
      </c>
      <c r="C41" s="514" t="s">
        <v>495</v>
      </c>
      <c r="D41" s="514" t="s">
        <v>593</v>
      </c>
      <c r="E41" s="515">
        <v>400</v>
      </c>
      <c r="F41" s="514" t="s">
        <v>115</v>
      </c>
      <c r="G41" s="514" t="s">
        <v>0</v>
      </c>
      <c r="H41" s="514" t="s">
        <v>279</v>
      </c>
      <c r="I41" s="516" t="s">
        <v>308</v>
      </c>
      <c r="J41" s="439">
        <f>E39+E40+E41</f>
        <v>1110</v>
      </c>
    </row>
    <row r="42" spans="1:9" ht="30.75" outlineLevel="2">
      <c r="A42" s="512">
        <v>9</v>
      </c>
      <c r="B42" s="513">
        <v>42801</v>
      </c>
      <c r="C42" s="514" t="s">
        <v>500</v>
      </c>
      <c r="D42" s="514" t="s">
        <v>596</v>
      </c>
      <c r="E42" s="515">
        <v>500</v>
      </c>
      <c r="F42" s="514" t="s">
        <v>115</v>
      </c>
      <c r="G42" s="514" t="s">
        <v>0</v>
      </c>
      <c r="H42" s="514" t="s">
        <v>278</v>
      </c>
      <c r="I42" s="516" t="s">
        <v>358</v>
      </c>
    </row>
    <row r="43" spans="1:9" ht="30.75" outlineLevel="2">
      <c r="A43" s="512">
        <v>11</v>
      </c>
      <c r="B43" s="544">
        <v>42828</v>
      </c>
      <c r="C43" s="545" t="s">
        <v>546</v>
      </c>
      <c r="D43" s="545" t="s">
        <v>638</v>
      </c>
      <c r="E43" s="546">
        <v>70</v>
      </c>
      <c r="F43" s="547" t="s">
        <v>115</v>
      </c>
      <c r="G43" s="547" t="s">
        <v>0</v>
      </c>
      <c r="H43" s="545" t="s">
        <v>278</v>
      </c>
      <c r="I43" s="548" t="s">
        <v>358</v>
      </c>
    </row>
    <row r="44" spans="1:9" ht="30.75" outlineLevel="2">
      <c r="A44" s="512">
        <v>12</v>
      </c>
      <c r="B44" s="544">
        <v>42831</v>
      </c>
      <c r="C44" s="545" t="s">
        <v>548</v>
      </c>
      <c r="D44" s="545" t="s">
        <v>637</v>
      </c>
      <c r="E44" s="546">
        <v>115.6</v>
      </c>
      <c r="F44" s="547" t="s">
        <v>115</v>
      </c>
      <c r="G44" s="547" t="s">
        <v>0</v>
      </c>
      <c r="H44" s="545" t="s">
        <v>278</v>
      </c>
      <c r="I44" s="548" t="s">
        <v>358</v>
      </c>
    </row>
    <row r="45" spans="1:9" ht="30.75" outlineLevel="2">
      <c r="A45" s="512">
        <v>14</v>
      </c>
      <c r="B45" s="544">
        <v>42832</v>
      </c>
      <c r="C45" s="545" t="s">
        <v>556</v>
      </c>
      <c r="D45" s="545" t="s">
        <v>600</v>
      </c>
      <c r="E45" s="546">
        <v>500</v>
      </c>
      <c r="F45" s="547" t="s">
        <v>115</v>
      </c>
      <c r="G45" s="547" t="s">
        <v>0</v>
      </c>
      <c r="H45" s="545" t="s">
        <v>278</v>
      </c>
      <c r="I45" s="548" t="s">
        <v>358</v>
      </c>
    </row>
    <row r="46" spans="1:9" ht="30.75" outlineLevel="2">
      <c r="A46" s="512">
        <v>15</v>
      </c>
      <c r="B46" s="544">
        <v>42835</v>
      </c>
      <c r="C46" s="545" t="s">
        <v>558</v>
      </c>
      <c r="D46" s="545" t="s">
        <v>636</v>
      </c>
      <c r="E46" s="546">
        <v>55.32</v>
      </c>
      <c r="F46" s="547" t="s">
        <v>115</v>
      </c>
      <c r="G46" s="547" t="s">
        <v>0</v>
      </c>
      <c r="H46" s="545" t="s">
        <v>278</v>
      </c>
      <c r="I46" s="548" t="s">
        <v>358</v>
      </c>
    </row>
    <row r="47" spans="1:9" ht="30.75" outlineLevel="2">
      <c r="A47" s="512">
        <v>19</v>
      </c>
      <c r="B47" s="513">
        <v>42874</v>
      </c>
      <c r="C47" s="514" t="s">
        <v>509</v>
      </c>
      <c r="D47" s="514" t="s">
        <v>596</v>
      </c>
      <c r="E47" s="515">
        <v>500</v>
      </c>
      <c r="F47" s="514" t="s">
        <v>115</v>
      </c>
      <c r="G47" s="514" t="s">
        <v>0</v>
      </c>
      <c r="H47" s="514" t="s">
        <v>278</v>
      </c>
      <c r="I47" s="516" t="s">
        <v>358</v>
      </c>
    </row>
    <row r="48" spans="1:9" ht="30.75" outlineLevel="2">
      <c r="A48" s="512">
        <v>30</v>
      </c>
      <c r="B48" s="513">
        <v>43004</v>
      </c>
      <c r="C48" s="514" t="s">
        <v>613</v>
      </c>
      <c r="D48" s="514" t="s">
        <v>618</v>
      </c>
      <c r="E48" s="515">
        <v>24</v>
      </c>
      <c r="F48" s="514" t="s">
        <v>115</v>
      </c>
      <c r="G48" s="514" t="s">
        <v>0</v>
      </c>
      <c r="H48" s="514" t="s">
        <v>278</v>
      </c>
      <c r="I48" s="516" t="s">
        <v>308</v>
      </c>
    </row>
    <row r="49" spans="1:10" ht="30.75" outlineLevel="2">
      <c r="A49" s="512">
        <v>31</v>
      </c>
      <c r="B49" s="513">
        <v>43017</v>
      </c>
      <c r="C49" s="514" t="s">
        <v>615</v>
      </c>
      <c r="D49" s="514" t="s">
        <v>593</v>
      </c>
      <c r="E49" s="515">
        <v>500</v>
      </c>
      <c r="F49" s="514" t="s">
        <v>115</v>
      </c>
      <c r="G49" s="514" t="s">
        <v>0</v>
      </c>
      <c r="H49" s="514" t="s">
        <v>278</v>
      </c>
      <c r="I49" s="516" t="s">
        <v>308</v>
      </c>
      <c r="J49" s="439">
        <f>SUM(E42:E49)</f>
        <v>2264.92</v>
      </c>
    </row>
    <row r="50" spans="1:10" s="52" customFormat="1" ht="31.5" outlineLevel="1">
      <c r="A50" s="512"/>
      <c r="B50" s="541"/>
      <c r="C50" s="542"/>
      <c r="D50" s="542"/>
      <c r="E50" s="524">
        <f>SUBTOTAL(9,E39:E49)</f>
        <v>3374.92</v>
      </c>
      <c r="F50" s="542" t="s">
        <v>786</v>
      </c>
      <c r="G50" s="542" t="s">
        <v>0</v>
      </c>
      <c r="H50" s="542"/>
      <c r="I50" s="543">
        <f>SUBTOTAL(9,I39:I49)</f>
        <v>0</v>
      </c>
      <c r="J50" s="600">
        <f>SUM(J41:J49)</f>
        <v>3374.92</v>
      </c>
    </row>
    <row r="51" spans="1:9" ht="47.25">
      <c r="A51" s="512"/>
      <c r="B51" s="513"/>
      <c r="C51" s="514"/>
      <c r="D51" s="514"/>
      <c r="E51" s="515">
        <f>SUBTOTAL(9,E3:E49)</f>
        <v>1175832.2310807686</v>
      </c>
      <c r="F51" s="542" t="s">
        <v>787</v>
      </c>
      <c r="G51" s="514"/>
      <c r="H51" s="514"/>
      <c r="I51" s="516">
        <f>SUBTOTAL(9,I3:I49)</f>
        <v>0</v>
      </c>
    </row>
    <row r="52" spans="1:9" ht="15">
      <c r="A52" s="520"/>
      <c r="B52" s="513"/>
      <c r="C52" s="514"/>
      <c r="D52" s="514"/>
      <c r="E52" s="515"/>
      <c r="F52" s="514"/>
      <c r="G52" s="514"/>
      <c r="H52" s="514"/>
      <c r="I52" s="516"/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landscape" paperSize="9" scale="53" r:id="rId1"/>
  <headerFooter>
    <oddFooter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zoomScale="95" zoomScaleNormal="95" zoomScalePageLayoutView="0" workbookViewId="0" topLeftCell="A34">
      <selection activeCell="E63" sqref="E63"/>
    </sheetView>
  </sheetViews>
  <sheetFormatPr defaultColWidth="9.140625" defaultRowHeight="12.75"/>
  <cols>
    <col min="1" max="1" width="11.8515625" style="0" bestFit="1" customWidth="1"/>
    <col min="2" max="2" width="67.140625" style="0" bestFit="1" customWidth="1"/>
    <col min="3" max="3" width="17.8515625" style="0" bestFit="1" customWidth="1"/>
    <col min="4" max="4" width="13.57421875" style="0" bestFit="1" customWidth="1"/>
    <col min="5" max="5" width="13.57421875" style="0" customWidth="1"/>
    <col min="6" max="6" width="14.140625" style="0" customWidth="1"/>
    <col min="7" max="7" width="40.140625" style="0" bestFit="1" customWidth="1"/>
  </cols>
  <sheetData>
    <row r="1" spans="1:7" ht="12.75">
      <c r="A1" s="614" t="s">
        <v>299</v>
      </c>
      <c r="B1" s="614"/>
      <c r="C1" s="614"/>
      <c r="D1" s="614"/>
      <c r="E1" s="614"/>
      <c r="F1" s="614"/>
      <c r="G1" s="614"/>
    </row>
    <row r="2" spans="1:7" ht="54">
      <c r="A2" s="196" t="s">
        <v>267</v>
      </c>
      <c r="B2" s="196" t="s">
        <v>214</v>
      </c>
      <c r="C2" s="196" t="s">
        <v>220</v>
      </c>
      <c r="D2" s="197" t="s">
        <v>211</v>
      </c>
      <c r="E2" s="197" t="s">
        <v>376</v>
      </c>
      <c r="F2" s="196" t="s">
        <v>212</v>
      </c>
      <c r="G2" s="196" t="s">
        <v>213</v>
      </c>
    </row>
    <row r="3" spans="1:7" ht="18">
      <c r="A3" s="194"/>
      <c r="B3" s="194"/>
      <c r="C3" s="194"/>
      <c r="D3" s="195"/>
      <c r="E3" s="195"/>
      <c r="F3" s="194"/>
      <c r="G3" s="194"/>
    </row>
    <row r="4" s="133" customFormat="1" ht="12.75"/>
    <row r="5" spans="1:7" ht="12.75">
      <c r="A5" s="263" t="s">
        <v>320</v>
      </c>
      <c r="B5" s="205" t="s">
        <v>321</v>
      </c>
      <c r="C5" s="205" t="s">
        <v>322</v>
      </c>
      <c r="D5" s="264">
        <v>0.13</v>
      </c>
      <c r="E5" s="425">
        <v>0.13</v>
      </c>
      <c r="F5" s="138" t="s">
        <v>115</v>
      </c>
      <c r="G5" s="171" t="s">
        <v>0</v>
      </c>
    </row>
    <row r="6" spans="1:7" ht="12.75">
      <c r="A6" s="198" t="s">
        <v>323</v>
      </c>
      <c r="B6" s="135" t="s">
        <v>324</v>
      </c>
      <c r="C6" s="135" t="s">
        <v>322</v>
      </c>
      <c r="D6" s="173">
        <v>0.27</v>
      </c>
      <c r="E6" s="423">
        <v>0.27</v>
      </c>
      <c r="F6" s="138" t="s">
        <v>116</v>
      </c>
      <c r="G6" s="262" t="s">
        <v>44</v>
      </c>
    </row>
    <row r="7" spans="1:7" ht="13.5" thickBot="1">
      <c r="A7" s="254" t="s">
        <v>325</v>
      </c>
      <c r="B7" s="175" t="s">
        <v>326</v>
      </c>
      <c r="C7" s="175" t="s">
        <v>322</v>
      </c>
      <c r="D7" s="265">
        <v>7.16</v>
      </c>
      <c r="E7" s="426">
        <v>7.16</v>
      </c>
      <c r="F7" s="138" t="s">
        <v>117</v>
      </c>
      <c r="G7" s="262" t="s">
        <v>171</v>
      </c>
    </row>
    <row r="8" spans="1:7" ht="14.25" thickBot="1" thickTop="1">
      <c r="A8" s="266" t="s">
        <v>296</v>
      </c>
      <c r="B8" s="266"/>
      <c r="C8" s="267"/>
      <c r="D8" s="268">
        <f>SUM(D5:D7)</f>
        <v>7.5600000000000005</v>
      </c>
      <c r="E8" s="268">
        <f>SUM(E5:E7)</f>
        <v>7.5600000000000005</v>
      </c>
      <c r="F8" s="266"/>
      <c r="G8" s="266"/>
    </row>
    <row r="9" ht="13.5" thickTop="1"/>
    <row r="10" spans="1:7" s="133" customFormat="1" ht="13.5" thickBot="1">
      <c r="A10"/>
      <c r="B10"/>
      <c r="C10"/>
      <c r="D10" s="248"/>
      <c r="E10" s="248"/>
      <c r="F10"/>
      <c r="G10"/>
    </row>
    <row r="11" spans="1:7" s="133" customFormat="1" ht="13.5" thickTop="1">
      <c r="A11" s="260" t="s">
        <v>315</v>
      </c>
      <c r="B11" s="259" t="s">
        <v>314</v>
      </c>
      <c r="C11" s="259" t="s">
        <v>311</v>
      </c>
      <c r="D11" s="258">
        <v>155812.5</v>
      </c>
      <c r="E11" s="427">
        <v>155812.5</v>
      </c>
      <c r="F11" s="138" t="s">
        <v>38</v>
      </c>
      <c r="G11" s="171" t="s">
        <v>183</v>
      </c>
    </row>
    <row r="12" spans="1:7" s="133" customFormat="1" ht="12.75">
      <c r="A12" s="261" t="s">
        <v>316</v>
      </c>
      <c r="B12" s="134" t="s">
        <v>391</v>
      </c>
      <c r="C12" s="135" t="s">
        <v>311</v>
      </c>
      <c r="D12" s="136">
        <v>5000</v>
      </c>
      <c r="E12" s="397">
        <v>5000</v>
      </c>
      <c r="F12" s="138" t="s">
        <v>27</v>
      </c>
      <c r="G12" s="171" t="s">
        <v>101</v>
      </c>
    </row>
    <row r="13" spans="1:7" s="133" customFormat="1" ht="13.5" thickBot="1">
      <c r="A13" s="255" t="s">
        <v>296</v>
      </c>
      <c r="B13" s="255"/>
      <c r="C13" s="256"/>
      <c r="D13" s="257">
        <f>SUM(D11:D12)</f>
        <v>160812.5</v>
      </c>
      <c r="E13" s="257">
        <f>SUM(E11:E12)</f>
        <v>160812.5</v>
      </c>
      <c r="F13" s="255"/>
      <c r="G13" s="255"/>
    </row>
    <row r="14" spans="1:7" s="133" customFormat="1" ht="13.5" thickTop="1">
      <c r="A14"/>
      <c r="B14"/>
      <c r="C14"/>
      <c r="D14"/>
      <c r="E14"/>
      <c r="F14"/>
      <c r="G14"/>
    </row>
    <row r="15" spans="1:7" s="133" customFormat="1" ht="12.75">
      <c r="A15"/>
      <c r="B15"/>
      <c r="C15"/>
      <c r="D15"/>
      <c r="E15"/>
      <c r="F15"/>
      <c r="G15"/>
    </row>
    <row r="16" spans="1:7" s="133" customFormat="1" ht="12.75">
      <c r="A16" s="279" t="s">
        <v>365</v>
      </c>
      <c r="B16" s="135" t="s">
        <v>332</v>
      </c>
      <c r="C16" s="135" t="s">
        <v>311</v>
      </c>
      <c r="D16" s="484">
        <v>5265</v>
      </c>
      <c r="E16" s="394">
        <f>13162.5-7897.5</f>
        <v>5265</v>
      </c>
      <c r="F16" s="138" t="s">
        <v>38</v>
      </c>
      <c r="G16" s="171" t="s">
        <v>183</v>
      </c>
    </row>
    <row r="17" spans="1:7" ht="15">
      <c r="A17" s="279" t="s">
        <v>366</v>
      </c>
      <c r="B17" s="252" t="s">
        <v>333</v>
      </c>
      <c r="C17" s="252" t="s">
        <v>334</v>
      </c>
      <c r="D17" s="485">
        <v>10000</v>
      </c>
      <c r="E17" s="273">
        <v>0</v>
      </c>
      <c r="F17" s="249" t="s">
        <v>21</v>
      </c>
      <c r="G17" s="247" t="s">
        <v>191</v>
      </c>
    </row>
    <row r="18" spans="1:7" s="133" customFormat="1" ht="15">
      <c r="A18" s="398" t="s">
        <v>368</v>
      </c>
      <c r="B18" s="250" t="s">
        <v>360</v>
      </c>
      <c r="C18" s="250" t="s">
        <v>331</v>
      </c>
      <c r="D18" s="485">
        <v>10000</v>
      </c>
      <c r="E18" s="274">
        <v>0</v>
      </c>
      <c r="F18" s="249" t="s">
        <v>21</v>
      </c>
      <c r="G18" s="247" t="s">
        <v>191</v>
      </c>
    </row>
    <row r="19" spans="1:7" s="133" customFormat="1" ht="15">
      <c r="A19" s="398" t="s">
        <v>370</v>
      </c>
      <c r="B19" s="250" t="s">
        <v>361</v>
      </c>
      <c r="C19" s="250" t="s">
        <v>334</v>
      </c>
      <c r="D19" s="485">
        <v>5000</v>
      </c>
      <c r="E19" s="274">
        <v>0</v>
      </c>
      <c r="F19" s="249" t="s">
        <v>21</v>
      </c>
      <c r="G19" s="247" t="s">
        <v>191</v>
      </c>
    </row>
    <row r="20" spans="1:7" ht="15">
      <c r="A20" s="279" t="s">
        <v>367</v>
      </c>
      <c r="B20" s="252" t="s">
        <v>333</v>
      </c>
      <c r="C20" s="252" t="s">
        <v>334</v>
      </c>
      <c r="D20" s="485">
        <v>2200</v>
      </c>
      <c r="E20" s="273">
        <v>0</v>
      </c>
      <c r="F20" s="245" t="s">
        <v>26</v>
      </c>
      <c r="G20" s="246" t="s">
        <v>100</v>
      </c>
    </row>
    <row r="21" spans="1:7" s="133" customFormat="1" ht="15">
      <c r="A21" s="398" t="s">
        <v>369</v>
      </c>
      <c r="B21" s="250" t="s">
        <v>360</v>
      </c>
      <c r="C21" s="250" t="s">
        <v>331</v>
      </c>
      <c r="D21" s="485">
        <v>2200</v>
      </c>
      <c r="E21" s="274">
        <v>0</v>
      </c>
      <c r="F21" s="245" t="s">
        <v>26</v>
      </c>
      <c r="G21" s="246" t="s">
        <v>100</v>
      </c>
    </row>
    <row r="22" spans="1:7" s="133" customFormat="1" ht="15">
      <c r="A22" s="398" t="s">
        <v>371</v>
      </c>
      <c r="B22" s="250" t="s">
        <v>361</v>
      </c>
      <c r="C22" s="250" t="s">
        <v>334</v>
      </c>
      <c r="D22" s="485">
        <v>1100</v>
      </c>
      <c r="E22" s="274">
        <v>0</v>
      </c>
      <c r="F22" s="245" t="s">
        <v>26</v>
      </c>
      <c r="G22" s="246" t="s">
        <v>100</v>
      </c>
    </row>
    <row r="23" spans="1:7" s="133" customFormat="1" ht="12.75">
      <c r="A23" s="261" t="s">
        <v>372</v>
      </c>
      <c r="B23" s="134" t="s">
        <v>362</v>
      </c>
      <c r="C23" s="135" t="s">
        <v>228</v>
      </c>
      <c r="D23" s="136">
        <v>500</v>
      </c>
      <c r="E23" s="141">
        <v>0</v>
      </c>
      <c r="F23" s="138" t="s">
        <v>115</v>
      </c>
      <c r="G23" s="171" t="s">
        <v>0</v>
      </c>
    </row>
    <row r="24" spans="1:7" s="133" customFormat="1" ht="12.75">
      <c r="A24" s="261" t="s">
        <v>373</v>
      </c>
      <c r="B24" s="134" t="s">
        <v>363</v>
      </c>
      <c r="C24" s="135" t="s">
        <v>275</v>
      </c>
      <c r="D24" s="136">
        <v>500</v>
      </c>
      <c r="E24" s="141">
        <v>0</v>
      </c>
      <c r="F24" s="138" t="s">
        <v>115</v>
      </c>
      <c r="G24" s="171" t="s">
        <v>0</v>
      </c>
    </row>
    <row r="25" spans="1:7" s="133" customFormat="1" ht="12.75">
      <c r="A25" s="261" t="s">
        <v>374</v>
      </c>
      <c r="B25" s="135" t="s">
        <v>364</v>
      </c>
      <c r="C25" s="135" t="s">
        <v>276</v>
      </c>
      <c r="D25" s="136">
        <v>620</v>
      </c>
      <c r="E25" s="136">
        <v>0</v>
      </c>
      <c r="F25" s="138" t="s">
        <v>115</v>
      </c>
      <c r="G25" s="171" t="s">
        <v>0</v>
      </c>
    </row>
    <row r="26" spans="1:7" s="133" customFormat="1" ht="12.75">
      <c r="A26" s="400"/>
      <c r="B26" s="85"/>
      <c r="C26" s="85"/>
      <c r="D26" s="208"/>
      <c r="E26" s="208"/>
      <c r="F26" s="84"/>
      <c r="G26" s="401"/>
    </row>
    <row r="27" spans="1:7" s="133" customFormat="1" ht="12.75">
      <c r="A27" s="402" t="s">
        <v>381</v>
      </c>
      <c r="B27" s="135" t="s">
        <v>383</v>
      </c>
      <c r="C27" s="135" t="s">
        <v>282</v>
      </c>
      <c r="D27" s="136">
        <v>11.19</v>
      </c>
      <c r="E27" s="136">
        <v>11.19</v>
      </c>
      <c r="F27" s="138" t="s">
        <v>116</v>
      </c>
      <c r="G27" s="139" t="s">
        <v>44</v>
      </c>
    </row>
    <row r="28" spans="1:7" s="133" customFormat="1" ht="13.5" thickBot="1">
      <c r="A28" s="402" t="s">
        <v>382</v>
      </c>
      <c r="B28" s="135" t="s">
        <v>383</v>
      </c>
      <c r="C28" s="135" t="s">
        <v>295</v>
      </c>
      <c r="D28" s="136">
        <v>234.3</v>
      </c>
      <c r="E28" s="136">
        <f>234.3-211.27</f>
        <v>23.03</v>
      </c>
      <c r="F28" s="138" t="s">
        <v>117</v>
      </c>
      <c r="G28" s="139" t="s">
        <v>384</v>
      </c>
    </row>
    <row r="29" spans="1:7" ht="14.25" thickBot="1" thickTop="1">
      <c r="A29" s="266"/>
      <c r="B29" s="266"/>
      <c r="C29" s="267"/>
      <c r="D29" s="268">
        <f>SUM(D16:D28)</f>
        <v>37630.490000000005</v>
      </c>
      <c r="E29" s="268">
        <f>SUM(E16:E28)</f>
        <v>5299.219999999999</v>
      </c>
      <c r="F29" s="266"/>
      <c r="G29" s="266"/>
    </row>
    <row r="30" spans="4:5" ht="13.5" thickTop="1">
      <c r="D30" s="54"/>
      <c r="E30" s="53"/>
    </row>
    <row r="31" spans="4:5" ht="12.75">
      <c r="D31" s="52"/>
      <c r="E31" s="53"/>
    </row>
    <row r="32" spans="4:5" ht="12.75">
      <c r="D32" s="51"/>
      <c r="E32" s="53"/>
    </row>
    <row r="33" spans="1:7" s="133" customFormat="1" ht="12.75">
      <c r="A33" s="261" t="s">
        <v>394</v>
      </c>
      <c r="B33" s="134" t="s">
        <v>399</v>
      </c>
      <c r="C33" s="135" t="s">
        <v>228</v>
      </c>
      <c r="D33" s="141">
        <v>500</v>
      </c>
      <c r="E33" s="141">
        <v>0</v>
      </c>
      <c r="F33" s="138" t="s">
        <v>115</v>
      </c>
      <c r="G33" s="171" t="s">
        <v>0</v>
      </c>
    </row>
    <row r="34" spans="1:7" s="133" customFormat="1" ht="12.75">
      <c r="A34" s="261" t="s">
        <v>396</v>
      </c>
      <c r="B34" s="134" t="s">
        <v>401</v>
      </c>
      <c r="C34" s="135" t="s">
        <v>275</v>
      </c>
      <c r="D34" s="141">
        <v>500</v>
      </c>
      <c r="E34" s="141">
        <v>0</v>
      </c>
      <c r="F34" s="138" t="s">
        <v>115</v>
      </c>
      <c r="G34" s="139" t="s">
        <v>0</v>
      </c>
    </row>
    <row r="35" spans="1:7" s="133" customFormat="1" ht="12.75">
      <c r="A35" s="261" t="s">
        <v>395</v>
      </c>
      <c r="B35" s="135" t="s">
        <v>400</v>
      </c>
      <c r="C35" s="135" t="s">
        <v>276</v>
      </c>
      <c r="D35" s="136">
        <v>620</v>
      </c>
      <c r="E35" s="136">
        <v>0</v>
      </c>
      <c r="F35" s="138" t="s">
        <v>115</v>
      </c>
      <c r="G35" s="139" t="s">
        <v>0</v>
      </c>
    </row>
    <row r="36" spans="1:7" ht="13.5" thickBot="1">
      <c r="A36" s="261" t="s">
        <v>393</v>
      </c>
      <c r="B36" s="135" t="s">
        <v>400</v>
      </c>
      <c r="C36" s="135" t="s">
        <v>413</v>
      </c>
      <c r="D36" s="141">
        <v>29</v>
      </c>
      <c r="E36" s="141">
        <v>0</v>
      </c>
      <c r="F36" s="138" t="s">
        <v>115</v>
      </c>
      <c r="G36" s="139" t="s">
        <v>0</v>
      </c>
    </row>
    <row r="37" spans="1:7" ht="14.25" thickBot="1" thickTop="1">
      <c r="A37" s="266"/>
      <c r="B37" s="266"/>
      <c r="C37" s="267"/>
      <c r="D37" s="268">
        <f>SUM(D33:D36)</f>
        <v>1649</v>
      </c>
      <c r="E37" s="268">
        <f>SUM(E33:E36)</f>
        <v>0</v>
      </c>
      <c r="F37" s="266"/>
      <c r="G37" s="266"/>
    </row>
    <row r="38" spans="4:5" ht="13.5" thickTop="1">
      <c r="D38" s="52"/>
      <c r="E38" s="53"/>
    </row>
    <row r="39" spans="4:5" ht="12.75">
      <c r="D39" s="52"/>
      <c r="E39" s="53"/>
    </row>
    <row r="40" spans="4:5" ht="12.75">
      <c r="D40" s="52"/>
      <c r="E40" s="53"/>
    </row>
    <row r="41" spans="1:7" ht="12.75">
      <c r="A41" s="402" t="s">
        <v>455</v>
      </c>
      <c r="B41" s="135" t="s">
        <v>445</v>
      </c>
      <c r="C41" s="140" t="s">
        <v>480</v>
      </c>
      <c r="D41" s="273">
        <v>3000</v>
      </c>
      <c r="E41" s="273">
        <v>0</v>
      </c>
      <c r="F41" s="138" t="s">
        <v>27</v>
      </c>
      <c r="G41" s="139" t="s">
        <v>101</v>
      </c>
    </row>
    <row r="42" spans="1:7" ht="12.75">
      <c r="A42" s="402" t="s">
        <v>456</v>
      </c>
      <c r="B42" s="134" t="s">
        <v>434</v>
      </c>
      <c r="C42" s="135" t="s">
        <v>435</v>
      </c>
      <c r="D42" s="136">
        <v>6276.8</v>
      </c>
      <c r="E42" s="136">
        <v>0</v>
      </c>
      <c r="F42" s="138" t="s">
        <v>27</v>
      </c>
      <c r="G42" s="139" t="s">
        <v>101</v>
      </c>
    </row>
    <row r="43" spans="1:7" ht="12.75">
      <c r="A43" s="402" t="s">
        <v>457</v>
      </c>
      <c r="B43" s="134" t="s">
        <v>431</v>
      </c>
      <c r="C43" s="135" t="s">
        <v>228</v>
      </c>
      <c r="D43" s="141">
        <v>400</v>
      </c>
      <c r="E43" s="141">
        <v>0</v>
      </c>
      <c r="F43" s="138" t="s">
        <v>115</v>
      </c>
      <c r="G43" s="171" t="s">
        <v>0</v>
      </c>
    </row>
    <row r="44" spans="1:7" ht="12.75">
      <c r="A44" s="402" t="s">
        <v>458</v>
      </c>
      <c r="B44" s="134" t="s">
        <v>432</v>
      </c>
      <c r="C44" s="135" t="s">
        <v>275</v>
      </c>
      <c r="D44" s="141">
        <v>300</v>
      </c>
      <c r="E44" s="141">
        <v>0</v>
      </c>
      <c r="F44" s="138" t="s">
        <v>115</v>
      </c>
      <c r="G44" s="139" t="s">
        <v>0</v>
      </c>
    </row>
    <row r="45" spans="1:7" ht="12.75">
      <c r="A45" s="402" t="s">
        <v>459</v>
      </c>
      <c r="B45" s="135" t="s">
        <v>433</v>
      </c>
      <c r="C45" s="135" t="s">
        <v>276</v>
      </c>
      <c r="D45" s="136">
        <v>410</v>
      </c>
      <c r="E45" s="136">
        <v>0</v>
      </c>
      <c r="F45" s="138" t="s">
        <v>115</v>
      </c>
      <c r="G45" s="139" t="s">
        <v>0</v>
      </c>
    </row>
    <row r="46" spans="1:7" ht="13.5" thickBot="1">
      <c r="A46" s="400" t="s">
        <v>470</v>
      </c>
      <c r="B46" s="489" t="s">
        <v>383</v>
      </c>
      <c r="C46" s="490" t="s">
        <v>295</v>
      </c>
      <c r="D46" s="208">
        <v>36.85</v>
      </c>
      <c r="E46" s="208">
        <v>36.85</v>
      </c>
      <c r="F46" s="138" t="s">
        <v>117</v>
      </c>
      <c r="G46" s="139" t="s">
        <v>171</v>
      </c>
    </row>
    <row r="47" spans="1:7" ht="14.25" thickBot="1" thickTop="1">
      <c r="A47" s="255"/>
      <c r="B47" s="266"/>
      <c r="C47" s="267"/>
      <c r="D47" s="268">
        <f>SUM(D41:D46)</f>
        <v>10423.65</v>
      </c>
      <c r="E47" s="268">
        <f>SUM(E41:E46)</f>
        <v>36.85</v>
      </c>
      <c r="F47" s="266"/>
      <c r="G47" s="266"/>
    </row>
    <row r="48" ht="14.25" thickBot="1" thickTop="1"/>
    <row r="49" spans="2:5" ht="13.5" thickBot="1">
      <c r="B49" t="s">
        <v>801</v>
      </c>
      <c r="D49" s="51">
        <f>E49+D47-E46</f>
        <v>176542.93</v>
      </c>
      <c r="E49" s="598">
        <f>E5+E6+E7+E11+E12+E16+E27+E28+E46</f>
        <v>166156.13</v>
      </c>
    </row>
    <row r="51" spans="1:7" ht="12.75">
      <c r="A51" s="402" t="s">
        <v>662</v>
      </c>
      <c r="B51" s="572" t="s">
        <v>765</v>
      </c>
      <c r="C51" s="135" t="s">
        <v>228</v>
      </c>
      <c r="D51" s="141">
        <v>500</v>
      </c>
      <c r="E51" s="141">
        <v>500</v>
      </c>
      <c r="F51" s="138" t="s">
        <v>115</v>
      </c>
      <c r="G51" s="171" t="s">
        <v>0</v>
      </c>
    </row>
    <row r="52" spans="1:7" ht="12.75">
      <c r="A52" s="402" t="s">
        <v>663</v>
      </c>
      <c r="B52" s="572" t="s">
        <v>764</v>
      </c>
      <c r="C52" s="135" t="s">
        <v>275</v>
      </c>
      <c r="D52" s="141">
        <v>300</v>
      </c>
      <c r="E52" s="141">
        <v>300</v>
      </c>
      <c r="F52" s="138" t="s">
        <v>115</v>
      </c>
      <c r="G52" s="139" t="s">
        <v>0</v>
      </c>
    </row>
    <row r="53" spans="1:7" ht="12.75">
      <c r="A53" s="402" t="s">
        <v>698</v>
      </c>
      <c r="B53" s="570" t="s">
        <v>766</v>
      </c>
      <c r="C53" s="135" t="s">
        <v>276</v>
      </c>
      <c r="D53" s="136">
        <v>410</v>
      </c>
      <c r="E53" s="136">
        <v>410</v>
      </c>
      <c r="F53" s="138" t="s">
        <v>115</v>
      </c>
      <c r="G53" s="139" t="s">
        <v>0</v>
      </c>
    </row>
    <row r="54" spans="1:7" ht="12.75">
      <c r="A54" s="402" t="s">
        <v>699</v>
      </c>
      <c r="B54" s="570" t="s">
        <v>757</v>
      </c>
      <c r="C54" s="135" t="s">
        <v>427</v>
      </c>
      <c r="D54" s="136">
        <v>589.75875</v>
      </c>
      <c r="E54" s="136">
        <v>589.75875</v>
      </c>
      <c r="F54" s="138" t="s">
        <v>27</v>
      </c>
      <c r="G54" s="139" t="s">
        <v>300</v>
      </c>
    </row>
    <row r="55" spans="1:7" ht="12.75">
      <c r="A55" s="402" t="s">
        <v>700</v>
      </c>
      <c r="B55" s="570" t="s">
        <v>758</v>
      </c>
      <c r="C55" s="135" t="s">
        <v>427</v>
      </c>
      <c r="D55" s="136">
        <v>2010.9375</v>
      </c>
      <c r="E55" s="136">
        <v>2010.9375</v>
      </c>
      <c r="F55" s="138" t="s">
        <v>27</v>
      </c>
      <c r="G55" s="139" t="s">
        <v>300</v>
      </c>
    </row>
    <row r="56" spans="1:7" ht="13.5" thickBot="1">
      <c r="A56" s="402" t="s">
        <v>701</v>
      </c>
      <c r="B56" s="606" t="s">
        <v>816</v>
      </c>
      <c r="C56" s="490" t="s">
        <v>817</v>
      </c>
      <c r="D56" s="208">
        <f>710</f>
        <v>710</v>
      </c>
      <c r="E56" s="208">
        <v>710</v>
      </c>
      <c r="F56" s="138" t="s">
        <v>115</v>
      </c>
      <c r="G56" s="139" t="s">
        <v>0</v>
      </c>
    </row>
    <row r="57" spans="1:7" ht="14.25" thickBot="1" thickTop="1">
      <c r="A57" s="252"/>
      <c r="B57" s="607"/>
      <c r="C57" s="267"/>
      <c r="D57" s="268">
        <f>SUM(D51:D56)</f>
        <v>4520.69625</v>
      </c>
      <c r="E57" s="268">
        <f>SUM(E51:E56)</f>
        <v>4520.69625</v>
      </c>
      <c r="F57" s="266"/>
      <c r="G57" s="266"/>
    </row>
    <row r="58" ht="13.5" thickTop="1"/>
    <row r="59" spans="2:4" ht="13.5" thickBot="1">
      <c r="B59" t="s">
        <v>801</v>
      </c>
      <c r="C59" s="53"/>
      <c r="D59" s="53"/>
    </row>
    <row r="60" spans="2:5" ht="13.5" thickBot="1">
      <c r="B60" t="s">
        <v>802</v>
      </c>
      <c r="E60" s="598">
        <f>D57</f>
        <v>4520.69625</v>
      </c>
    </row>
    <row r="62" ht="12.75">
      <c r="E62" s="51">
        <f>E49+E60</f>
        <v>170676.82625</v>
      </c>
    </row>
  </sheetData>
  <sheetProtection/>
  <mergeCells count="1">
    <mergeCell ref="A1:G1"/>
  </mergeCells>
  <printOptions/>
  <pageMargins left="0.7086614173228347" right="0.7086614173228347" top="0.4724409448818898" bottom="0.1968503937007874" header="0.31496062992125984" footer="0.196850393700787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90" zoomScaleNormal="90" zoomScalePageLayoutView="0" workbookViewId="0" topLeftCell="C42">
      <selection activeCell="F71" sqref="F71"/>
    </sheetView>
  </sheetViews>
  <sheetFormatPr defaultColWidth="34.8515625" defaultRowHeight="12.75"/>
  <cols>
    <col min="1" max="1" width="19.140625" style="133" customWidth="1"/>
    <col min="2" max="2" width="13.140625" style="133" bestFit="1" customWidth="1"/>
    <col min="3" max="3" width="14.8515625" style="133" customWidth="1"/>
    <col min="4" max="4" width="39.57421875" style="133" bestFit="1" customWidth="1"/>
    <col min="5" max="5" width="14.140625" style="403" bestFit="1" customWidth="1"/>
    <col min="6" max="6" width="172.140625" style="403" bestFit="1" customWidth="1"/>
    <col min="7" max="7" width="76.8515625" style="133" bestFit="1" customWidth="1"/>
    <col min="8" max="16384" width="34.8515625" style="133" customWidth="1"/>
  </cols>
  <sheetData>
    <row r="1" spans="1:6" ht="15" customHeight="1">
      <c r="A1" s="615" t="s">
        <v>446</v>
      </c>
      <c r="B1" s="615"/>
      <c r="C1" s="615"/>
      <c r="D1" s="615"/>
      <c r="E1" s="615"/>
      <c r="F1" s="615"/>
    </row>
    <row r="2" ht="15" customHeight="1"/>
    <row r="3" spans="1:6" ht="15" customHeight="1">
      <c r="A3" s="399" t="s">
        <v>385</v>
      </c>
      <c r="B3" s="399" t="s">
        <v>386</v>
      </c>
      <c r="C3" s="399" t="s">
        <v>387</v>
      </c>
      <c r="D3" s="399" t="s">
        <v>388</v>
      </c>
      <c r="E3" s="404" t="s">
        <v>389</v>
      </c>
      <c r="F3" s="399" t="s">
        <v>390</v>
      </c>
    </row>
    <row r="4" spans="1:7" ht="15" customHeight="1">
      <c r="A4" s="250">
        <v>1</v>
      </c>
      <c r="B4" s="433">
        <v>42752</v>
      </c>
      <c r="C4" s="250" t="s">
        <v>38</v>
      </c>
      <c r="D4" s="250" t="s">
        <v>183</v>
      </c>
      <c r="E4" s="448">
        <v>165937.5</v>
      </c>
      <c r="F4" s="135" t="s">
        <v>695</v>
      </c>
      <c r="G4" s="424"/>
    </row>
    <row r="5" spans="1:7" ht="15" customHeight="1">
      <c r="A5" s="250">
        <v>1</v>
      </c>
      <c r="B5" s="433">
        <v>42752</v>
      </c>
      <c r="C5" s="135" t="s">
        <v>249</v>
      </c>
      <c r="D5" s="135" t="s">
        <v>250</v>
      </c>
      <c r="E5" s="448">
        <v>165937.5</v>
      </c>
      <c r="F5" s="135" t="s">
        <v>695</v>
      </c>
      <c r="G5" s="424"/>
    </row>
    <row r="6" spans="1:7" ht="15" customHeight="1">
      <c r="A6" s="250"/>
      <c r="B6" s="433"/>
      <c r="C6" s="135"/>
      <c r="D6" s="135"/>
      <c r="E6" s="448"/>
      <c r="F6" s="135"/>
      <c r="G6" s="424"/>
    </row>
    <row r="7" spans="1:7" ht="15" customHeight="1">
      <c r="A7" s="250">
        <v>2</v>
      </c>
      <c r="B7" s="433">
        <v>42843</v>
      </c>
      <c r="C7" s="135" t="s">
        <v>27</v>
      </c>
      <c r="D7" s="135" t="s">
        <v>101</v>
      </c>
      <c r="E7" s="448">
        <v>100500</v>
      </c>
      <c r="F7" s="135" t="s">
        <v>702</v>
      </c>
      <c r="G7" s="424"/>
    </row>
    <row r="8" spans="1:7" ht="15" customHeight="1">
      <c r="A8" s="250">
        <v>2</v>
      </c>
      <c r="B8" s="433">
        <v>42843</v>
      </c>
      <c r="C8" s="135" t="s">
        <v>249</v>
      </c>
      <c r="D8" s="135" t="s">
        <v>250</v>
      </c>
      <c r="E8" s="448">
        <v>100500</v>
      </c>
      <c r="F8" s="135" t="s">
        <v>702</v>
      </c>
      <c r="G8" s="424"/>
    </row>
    <row r="9" spans="1:7" ht="15" customHeight="1">
      <c r="A9" s="250"/>
      <c r="B9" s="433"/>
      <c r="C9" s="135"/>
      <c r="D9" s="135"/>
      <c r="E9" s="448"/>
      <c r="F9" s="135"/>
      <c r="G9" s="424"/>
    </row>
    <row r="10" spans="1:7" ht="15" customHeight="1">
      <c r="A10" s="250">
        <v>3</v>
      </c>
      <c r="B10" s="433">
        <v>42855</v>
      </c>
      <c r="C10" s="250" t="s">
        <v>11</v>
      </c>
      <c r="D10" s="250" t="s">
        <v>4</v>
      </c>
      <c r="E10" s="448">
        <f>122227.34-12000</f>
        <v>110227.34</v>
      </c>
      <c r="F10" s="135" t="s">
        <v>685</v>
      </c>
      <c r="G10" s="424"/>
    </row>
    <row r="11" spans="1:7" ht="15" customHeight="1">
      <c r="A11" s="250">
        <v>3</v>
      </c>
      <c r="B11" s="433">
        <v>42855</v>
      </c>
      <c r="C11" s="250" t="s">
        <v>207</v>
      </c>
      <c r="D11" s="250" t="s">
        <v>208</v>
      </c>
      <c r="E11" s="448">
        <v>23194.800000000003</v>
      </c>
      <c r="F11" s="135" t="s">
        <v>685</v>
      </c>
      <c r="G11" s="424"/>
    </row>
    <row r="12" spans="1:7" ht="15" customHeight="1">
      <c r="A12" s="250">
        <v>3</v>
      </c>
      <c r="B12" s="433">
        <v>42855</v>
      </c>
      <c r="C12" s="250" t="s">
        <v>249</v>
      </c>
      <c r="D12" s="250" t="s">
        <v>250</v>
      </c>
      <c r="E12" s="448">
        <v>66998.90999999992</v>
      </c>
      <c r="F12" s="135" t="s">
        <v>685</v>
      </c>
      <c r="G12" s="424"/>
    </row>
    <row r="13" spans="1:7" ht="15" customHeight="1">
      <c r="A13" s="250">
        <v>3</v>
      </c>
      <c r="B13" s="433">
        <v>42855</v>
      </c>
      <c r="C13" s="250" t="s">
        <v>153</v>
      </c>
      <c r="D13" s="250" t="s">
        <v>151</v>
      </c>
      <c r="E13" s="448">
        <f>32033.63-12000</f>
        <v>20033.63</v>
      </c>
      <c r="F13" s="135" t="s">
        <v>686</v>
      </c>
      <c r="G13" s="424"/>
    </row>
    <row r="14" spans="1:6" ht="15" customHeight="1">
      <c r="A14" s="399"/>
      <c r="B14" s="399"/>
      <c r="C14" s="399"/>
      <c r="D14" s="399"/>
      <c r="E14" s="404"/>
      <c r="F14" s="399"/>
    </row>
    <row r="15" spans="1:7" ht="15" customHeight="1">
      <c r="A15" s="250">
        <v>4</v>
      </c>
      <c r="B15" s="433">
        <v>42936</v>
      </c>
      <c r="C15" s="250" t="s">
        <v>38</v>
      </c>
      <c r="D15" s="135" t="s">
        <v>183</v>
      </c>
      <c r="E15" s="532">
        <v>31938.81</v>
      </c>
      <c r="F15" s="135" t="s">
        <v>416</v>
      </c>
      <c r="G15" s="424"/>
    </row>
    <row r="16" spans="1:7" ht="15" customHeight="1">
      <c r="A16" s="250">
        <v>4</v>
      </c>
      <c r="B16" s="433">
        <v>42936</v>
      </c>
      <c r="C16" s="135" t="s">
        <v>249</v>
      </c>
      <c r="D16" s="135" t="s">
        <v>250</v>
      </c>
      <c r="E16" s="532">
        <v>31938.81</v>
      </c>
      <c r="F16" s="135" t="s">
        <v>416</v>
      </c>
      <c r="G16" s="424"/>
    </row>
    <row r="17" spans="1:7" ht="15" customHeight="1">
      <c r="A17" s="250"/>
      <c r="B17" s="433"/>
      <c r="C17" s="135"/>
      <c r="D17" s="135"/>
      <c r="E17" s="532"/>
      <c r="F17" s="135"/>
      <c r="G17" s="424"/>
    </row>
    <row r="18" spans="1:7" ht="15" customHeight="1">
      <c r="A18" s="250">
        <v>5</v>
      </c>
      <c r="B18" s="433">
        <v>42993</v>
      </c>
      <c r="C18" s="134" t="s">
        <v>23</v>
      </c>
      <c r="D18" s="134" t="s">
        <v>281</v>
      </c>
      <c r="E18" s="448">
        <f>1110+0.09</f>
        <v>1110.09</v>
      </c>
      <c r="F18" s="134" t="s">
        <v>293</v>
      </c>
      <c r="G18" s="424"/>
    </row>
    <row r="19" spans="1:7" ht="15" customHeight="1">
      <c r="A19" s="250">
        <v>5</v>
      </c>
      <c r="B19" s="433">
        <v>42993</v>
      </c>
      <c r="C19" s="134" t="s">
        <v>153</v>
      </c>
      <c r="D19" s="134" t="s">
        <v>151</v>
      </c>
      <c r="E19" s="448">
        <f>1110+0.09</f>
        <v>1110.09</v>
      </c>
      <c r="F19" s="134" t="s">
        <v>293</v>
      </c>
      <c r="G19" s="424"/>
    </row>
    <row r="20" spans="1:7" ht="15" customHeight="1">
      <c r="A20" s="250"/>
      <c r="B20" s="433"/>
      <c r="C20" s="135"/>
      <c r="D20" s="135"/>
      <c r="E20" s="448"/>
      <c r="F20" s="135"/>
      <c r="G20" s="424"/>
    </row>
    <row r="21" spans="1:7" ht="15" customHeight="1">
      <c r="A21" s="250">
        <v>6</v>
      </c>
      <c r="B21" s="433">
        <v>43019</v>
      </c>
      <c r="C21" s="250" t="s">
        <v>38</v>
      </c>
      <c r="D21" s="250" t="s">
        <v>183</v>
      </c>
      <c r="E21" s="448">
        <v>120937.5</v>
      </c>
      <c r="F21" s="135" t="s">
        <v>696</v>
      </c>
      <c r="G21" s="424"/>
    </row>
    <row r="22" spans="1:7" ht="15" customHeight="1">
      <c r="A22" s="250">
        <v>6</v>
      </c>
      <c r="B22" s="433">
        <v>43019</v>
      </c>
      <c r="C22" s="135" t="s">
        <v>249</v>
      </c>
      <c r="D22" s="135" t="s">
        <v>250</v>
      </c>
      <c r="E22" s="448">
        <v>120937.5</v>
      </c>
      <c r="F22" s="135" t="s">
        <v>696</v>
      </c>
      <c r="G22" s="424"/>
    </row>
    <row r="23" spans="1:7" ht="15" customHeight="1">
      <c r="A23" s="250"/>
      <c r="B23" s="433"/>
      <c r="C23" s="135"/>
      <c r="D23" s="135"/>
      <c r="E23" s="448"/>
      <c r="F23" s="135"/>
      <c r="G23" s="424"/>
    </row>
    <row r="24" spans="1:7" ht="15" customHeight="1">
      <c r="A24" s="250">
        <v>7</v>
      </c>
      <c r="B24" s="433">
        <v>43038</v>
      </c>
      <c r="C24" s="135" t="s">
        <v>27</v>
      </c>
      <c r="D24" s="135" t="s">
        <v>101</v>
      </c>
      <c r="E24" s="448">
        <v>57681.35</v>
      </c>
      <c r="F24" s="135" t="s">
        <v>438</v>
      </c>
      <c r="G24" s="424"/>
    </row>
    <row r="25" spans="1:7" ht="15" customHeight="1">
      <c r="A25" s="250">
        <v>7</v>
      </c>
      <c r="B25" s="433">
        <v>43038</v>
      </c>
      <c r="C25" s="135" t="s">
        <v>147</v>
      </c>
      <c r="D25" s="135" t="s">
        <v>188</v>
      </c>
      <c r="E25" s="448">
        <v>4000</v>
      </c>
      <c r="F25" s="135" t="s">
        <v>689</v>
      </c>
      <c r="G25" s="424"/>
    </row>
    <row r="26" spans="1:7" ht="15" customHeight="1">
      <c r="A26" s="250">
        <v>7</v>
      </c>
      <c r="B26" s="433">
        <v>43038</v>
      </c>
      <c r="C26" s="135" t="s">
        <v>153</v>
      </c>
      <c r="D26" s="135" t="s">
        <v>151</v>
      </c>
      <c r="E26" s="448">
        <v>3068.91</v>
      </c>
      <c r="F26" s="135" t="s">
        <v>687</v>
      </c>
      <c r="G26" s="424"/>
    </row>
    <row r="27" spans="1:7" ht="15" customHeight="1">
      <c r="A27" s="250">
        <v>7</v>
      </c>
      <c r="B27" s="433">
        <v>43038</v>
      </c>
      <c r="C27" s="135" t="s">
        <v>207</v>
      </c>
      <c r="D27" s="135" t="s">
        <v>208</v>
      </c>
      <c r="E27" s="448">
        <v>8081</v>
      </c>
      <c r="F27" s="135" t="s">
        <v>688</v>
      </c>
      <c r="G27" s="424"/>
    </row>
    <row r="28" spans="1:7" ht="15" customHeight="1">
      <c r="A28" s="250">
        <v>7</v>
      </c>
      <c r="B28" s="433">
        <v>43038</v>
      </c>
      <c r="C28" s="135" t="s">
        <v>54</v>
      </c>
      <c r="D28" s="135" t="s">
        <v>259</v>
      </c>
      <c r="E28" s="448">
        <v>787.5</v>
      </c>
      <c r="F28" s="135" t="s">
        <v>690</v>
      </c>
      <c r="G28" s="424"/>
    </row>
    <row r="29" spans="1:7" ht="15" customHeight="1">
      <c r="A29" s="250">
        <v>7</v>
      </c>
      <c r="B29" s="433">
        <v>43038</v>
      </c>
      <c r="C29" s="135" t="s">
        <v>207</v>
      </c>
      <c r="D29" s="135" t="s">
        <v>208</v>
      </c>
      <c r="E29" s="448">
        <v>8081</v>
      </c>
      <c r="F29" s="135" t="s">
        <v>691</v>
      </c>
      <c r="G29" s="424"/>
    </row>
    <row r="30" spans="1:7" ht="15" customHeight="1">
      <c r="A30" s="250">
        <v>7</v>
      </c>
      <c r="B30" s="433">
        <v>43038</v>
      </c>
      <c r="C30" s="135" t="s">
        <v>207</v>
      </c>
      <c r="D30" s="135" t="s">
        <v>208</v>
      </c>
      <c r="E30" s="448">
        <v>1300</v>
      </c>
      <c r="F30" s="135" t="s">
        <v>692</v>
      </c>
      <c r="G30" s="424"/>
    </row>
    <row r="31" spans="1:7" ht="15" customHeight="1">
      <c r="A31" s="250">
        <v>7</v>
      </c>
      <c r="B31" s="433">
        <v>43038</v>
      </c>
      <c r="C31" s="135" t="s">
        <v>54</v>
      </c>
      <c r="D31" s="135" t="s">
        <v>259</v>
      </c>
      <c r="E31" s="448">
        <v>787.5</v>
      </c>
      <c r="F31" s="135" t="s">
        <v>693</v>
      </c>
      <c r="G31" s="424"/>
    </row>
    <row r="32" spans="1:7" ht="15" customHeight="1">
      <c r="A32" s="250">
        <v>7</v>
      </c>
      <c r="B32" s="433">
        <v>43038</v>
      </c>
      <c r="C32" s="135" t="s">
        <v>54</v>
      </c>
      <c r="D32" s="135" t="s">
        <v>259</v>
      </c>
      <c r="E32" s="448">
        <v>1575</v>
      </c>
      <c r="F32" s="135" t="s">
        <v>809</v>
      </c>
      <c r="G32" s="424"/>
    </row>
    <row r="33" spans="1:7" ht="15" customHeight="1">
      <c r="A33" s="250">
        <v>7</v>
      </c>
      <c r="B33" s="433">
        <v>43038</v>
      </c>
      <c r="C33" s="135" t="s">
        <v>153</v>
      </c>
      <c r="D33" s="135" t="s">
        <v>151</v>
      </c>
      <c r="E33" s="448">
        <v>30000.44</v>
      </c>
      <c r="F33" s="135" t="s">
        <v>694</v>
      </c>
      <c r="G33" s="424"/>
    </row>
    <row r="34" spans="1:7" ht="15" customHeight="1">
      <c r="A34" s="250"/>
      <c r="B34" s="433"/>
      <c r="C34" s="250"/>
      <c r="D34" s="250"/>
      <c r="E34" s="448"/>
      <c r="F34" s="135"/>
      <c r="G34" s="424"/>
    </row>
    <row r="35" spans="1:7" ht="15" customHeight="1">
      <c r="A35" s="250">
        <v>8</v>
      </c>
      <c r="B35" s="433">
        <v>43038</v>
      </c>
      <c r="C35" s="250" t="s">
        <v>153</v>
      </c>
      <c r="D35" s="250" t="s">
        <v>151</v>
      </c>
      <c r="E35" s="608">
        <v>-7887.74</v>
      </c>
      <c r="F35" s="134" t="s">
        <v>447</v>
      </c>
      <c r="G35" s="424"/>
    </row>
    <row r="36" spans="1:7" ht="15" customHeight="1">
      <c r="A36" s="250">
        <v>8</v>
      </c>
      <c r="B36" s="433">
        <v>43038</v>
      </c>
      <c r="C36" s="250" t="s">
        <v>52</v>
      </c>
      <c r="D36" s="250" t="s">
        <v>126</v>
      </c>
      <c r="E36" s="448">
        <v>5192.74</v>
      </c>
      <c r="F36" s="134" t="s">
        <v>447</v>
      </c>
      <c r="G36" s="424"/>
    </row>
    <row r="37" spans="1:7" ht="15" customHeight="1">
      <c r="A37" s="250">
        <v>8</v>
      </c>
      <c r="B37" s="433">
        <v>43038</v>
      </c>
      <c r="C37" s="250" t="s">
        <v>141</v>
      </c>
      <c r="D37" s="250" t="s">
        <v>142</v>
      </c>
      <c r="E37" s="448">
        <v>2669.5</v>
      </c>
      <c r="F37" s="134" t="s">
        <v>447</v>
      </c>
      <c r="G37" s="424"/>
    </row>
    <row r="38" spans="1:7" ht="15" customHeight="1">
      <c r="A38" s="250">
        <v>8</v>
      </c>
      <c r="B38" s="433">
        <v>43038</v>
      </c>
      <c r="C38" s="250" t="s">
        <v>50</v>
      </c>
      <c r="D38" s="250" t="s">
        <v>125</v>
      </c>
      <c r="E38" s="448">
        <v>25.5</v>
      </c>
      <c r="F38" s="134" t="s">
        <v>447</v>
      </c>
      <c r="G38" s="424"/>
    </row>
    <row r="39" spans="1:7" ht="15" customHeight="1">
      <c r="A39" s="424"/>
      <c r="B39" s="474"/>
      <c r="C39" s="424"/>
      <c r="D39" s="424"/>
      <c r="E39" s="481"/>
      <c r="F39" s="482"/>
      <c r="G39" s="424"/>
    </row>
    <row r="40" spans="1:7" ht="15" customHeight="1">
      <c r="A40" s="250">
        <v>9</v>
      </c>
      <c r="B40" s="433">
        <v>43052</v>
      </c>
      <c r="C40" s="250" t="s">
        <v>38</v>
      </c>
      <c r="D40" s="250" t="s">
        <v>183</v>
      </c>
      <c r="E40" s="448">
        <v>222720</v>
      </c>
      <c r="F40" s="135" t="s">
        <v>807</v>
      </c>
      <c r="G40" s="424"/>
    </row>
    <row r="41" spans="1:7" ht="15" customHeight="1">
      <c r="A41" s="250">
        <v>9</v>
      </c>
      <c r="B41" s="433">
        <v>43052</v>
      </c>
      <c r="C41" s="135" t="s">
        <v>249</v>
      </c>
      <c r="D41" s="135" t="s">
        <v>250</v>
      </c>
      <c r="E41" s="448">
        <v>222720</v>
      </c>
      <c r="F41" s="135" t="s">
        <v>807</v>
      </c>
      <c r="G41" s="424"/>
    </row>
    <row r="42" spans="7:13" ht="12.75">
      <c r="G42" s="424"/>
      <c r="H42" s="424"/>
      <c r="I42" s="424"/>
      <c r="J42" s="424"/>
      <c r="K42" s="424"/>
      <c r="L42" s="424"/>
      <c r="M42" s="424"/>
    </row>
    <row r="43" spans="1:7" ht="15" customHeight="1">
      <c r="A43" s="250">
        <v>10</v>
      </c>
      <c r="B43" s="433">
        <v>43052</v>
      </c>
      <c r="C43" s="250" t="s">
        <v>38</v>
      </c>
      <c r="D43" s="250" t="s">
        <v>183</v>
      </c>
      <c r="E43" s="448">
        <v>435937.5</v>
      </c>
      <c r="F43" s="135" t="s">
        <v>808</v>
      </c>
      <c r="G43" s="424"/>
    </row>
    <row r="44" spans="1:7" ht="15" customHeight="1">
      <c r="A44" s="250">
        <v>10</v>
      </c>
      <c r="B44" s="433">
        <v>43052</v>
      </c>
      <c r="C44" s="135" t="s">
        <v>249</v>
      </c>
      <c r="D44" s="135" t="s">
        <v>250</v>
      </c>
      <c r="E44" s="448">
        <v>435937.5</v>
      </c>
      <c r="F44" s="135" t="s">
        <v>808</v>
      </c>
      <c r="G44" s="424"/>
    </row>
    <row r="46" spans="1:6" ht="12.75">
      <c r="A46" s="424">
        <v>11</v>
      </c>
      <c r="B46" s="433">
        <v>43084</v>
      </c>
      <c r="C46" s="247" t="s">
        <v>201</v>
      </c>
      <c r="D46" s="247" t="s">
        <v>202</v>
      </c>
      <c r="E46" s="274">
        <v>4000</v>
      </c>
      <c r="F46" s="605" t="s">
        <v>814</v>
      </c>
    </row>
    <row r="47" spans="1:6" ht="12.75">
      <c r="A47" s="250">
        <v>11</v>
      </c>
      <c r="B47" s="433">
        <v>43084</v>
      </c>
      <c r="C47" s="250" t="s">
        <v>153</v>
      </c>
      <c r="D47" s="250" t="s">
        <v>151</v>
      </c>
      <c r="E47" s="532">
        <v>4000</v>
      </c>
      <c r="F47" s="605" t="s">
        <v>814</v>
      </c>
    </row>
    <row r="49" spans="1:7" ht="15" customHeight="1">
      <c r="A49" s="250">
        <v>12</v>
      </c>
      <c r="B49" s="433">
        <v>43100</v>
      </c>
      <c r="C49" s="135" t="s">
        <v>27</v>
      </c>
      <c r="D49" s="135" t="s">
        <v>101</v>
      </c>
      <c r="E49" s="448">
        <f>2432.95+486.59</f>
        <v>2919.54</v>
      </c>
      <c r="F49" s="135" t="s">
        <v>810</v>
      </c>
      <c r="G49" s="424"/>
    </row>
    <row r="50" spans="1:7" ht="15" customHeight="1">
      <c r="A50" s="250">
        <v>12</v>
      </c>
      <c r="B50" s="433">
        <v>43100</v>
      </c>
      <c r="C50" s="135" t="s">
        <v>27</v>
      </c>
      <c r="D50" s="135" t="s">
        <v>101</v>
      </c>
      <c r="E50" s="448">
        <f>697.15+464.77+3332.81</f>
        <v>4494.73</v>
      </c>
      <c r="F50" s="135" t="s">
        <v>811</v>
      </c>
      <c r="G50" s="424"/>
    </row>
    <row r="51" spans="1:7" ht="15" customHeight="1">
      <c r="A51" s="250">
        <v>12</v>
      </c>
      <c r="B51" s="433">
        <v>43100</v>
      </c>
      <c r="C51" s="135" t="s">
        <v>27</v>
      </c>
      <c r="D51" s="135" t="s">
        <v>101</v>
      </c>
      <c r="E51" s="448">
        <v>2600.7</v>
      </c>
      <c r="F51" s="135" t="s">
        <v>813</v>
      </c>
      <c r="G51" s="424"/>
    </row>
    <row r="52" spans="1:6" ht="12.75">
      <c r="A52" s="250">
        <v>12</v>
      </c>
      <c r="B52" s="433">
        <v>43100</v>
      </c>
      <c r="C52" s="250" t="s">
        <v>153</v>
      </c>
      <c r="D52" s="250" t="s">
        <v>151</v>
      </c>
      <c r="E52" s="532">
        <f>2919.54+4494.73+2600.7</f>
        <v>10014.97</v>
      </c>
      <c r="F52" s="605" t="s">
        <v>812</v>
      </c>
    </row>
    <row r="54" spans="1:7" ht="15" customHeight="1">
      <c r="A54" s="250">
        <v>13</v>
      </c>
      <c r="B54" s="433">
        <v>43100</v>
      </c>
      <c r="C54" s="134" t="s">
        <v>23</v>
      </c>
      <c r="D54" s="134" t="s">
        <v>281</v>
      </c>
      <c r="E54" s="448">
        <f>1.28+2.21</f>
        <v>3.49</v>
      </c>
      <c r="F54" s="134" t="s">
        <v>293</v>
      </c>
      <c r="G54" s="424"/>
    </row>
    <row r="55" spans="1:6" ht="15" customHeight="1">
      <c r="A55" s="250">
        <v>13</v>
      </c>
      <c r="B55" s="433">
        <v>43100</v>
      </c>
      <c r="C55" s="134" t="s">
        <v>153</v>
      </c>
      <c r="D55" s="134" t="s">
        <v>151</v>
      </c>
      <c r="E55" s="448">
        <f>1.28+2.21</f>
        <v>3.49</v>
      </c>
      <c r="F55" s="134" t="s">
        <v>293</v>
      </c>
    </row>
    <row r="58" spans="1:7" ht="15" customHeight="1">
      <c r="A58" s="250">
        <v>14</v>
      </c>
      <c r="B58" s="433">
        <v>43100</v>
      </c>
      <c r="C58" s="134" t="s">
        <v>115</v>
      </c>
      <c r="D58" s="134" t="s">
        <v>0</v>
      </c>
      <c r="E58" s="448">
        <v>4184.92</v>
      </c>
      <c r="F58" s="134" t="s">
        <v>815</v>
      </c>
      <c r="G58" s="424"/>
    </row>
    <row r="59" spans="1:6" ht="15" customHeight="1">
      <c r="A59" s="250">
        <v>14</v>
      </c>
      <c r="B59" s="433">
        <v>43100</v>
      </c>
      <c r="C59" s="135" t="s">
        <v>79</v>
      </c>
      <c r="D59" s="134" t="s">
        <v>0</v>
      </c>
      <c r="E59" s="448">
        <v>4184.92</v>
      </c>
      <c r="F59" s="135" t="s">
        <v>417</v>
      </c>
    </row>
    <row r="61" spans="1:7" ht="15" customHeight="1">
      <c r="A61" s="250">
        <v>15</v>
      </c>
      <c r="B61" s="433">
        <v>43100</v>
      </c>
      <c r="C61" s="250" t="s">
        <v>153</v>
      </c>
      <c r="D61" s="250" t="s">
        <v>151</v>
      </c>
      <c r="E61" s="609">
        <v>-1391.39</v>
      </c>
      <c r="F61" s="134" t="s">
        <v>447</v>
      </c>
      <c r="G61" s="424"/>
    </row>
    <row r="62" spans="1:7" ht="15" customHeight="1">
      <c r="A62" s="250">
        <v>15</v>
      </c>
      <c r="B62" s="433">
        <v>43100</v>
      </c>
      <c r="C62" s="250" t="s">
        <v>52</v>
      </c>
      <c r="D62" s="250" t="s">
        <v>126</v>
      </c>
      <c r="E62" s="448">
        <v>200</v>
      </c>
      <c r="F62" s="134" t="s">
        <v>447</v>
      </c>
      <c r="G62" s="424"/>
    </row>
    <row r="63" spans="1:7" ht="15" customHeight="1">
      <c r="A63" s="250">
        <v>15</v>
      </c>
      <c r="B63" s="433">
        <v>43100</v>
      </c>
      <c r="C63" s="250" t="s">
        <v>54</v>
      </c>
      <c r="D63" s="250" t="s">
        <v>259</v>
      </c>
      <c r="E63" s="448">
        <v>262.5</v>
      </c>
      <c r="F63" s="134" t="s">
        <v>447</v>
      </c>
      <c r="G63" s="424"/>
    </row>
    <row r="64" spans="1:7" ht="15" customHeight="1">
      <c r="A64" s="250">
        <v>15</v>
      </c>
      <c r="B64" s="433">
        <v>43100</v>
      </c>
      <c r="C64" s="250" t="s">
        <v>135</v>
      </c>
      <c r="D64" s="250" t="s">
        <v>158</v>
      </c>
      <c r="E64" s="448">
        <v>113.97</v>
      </c>
      <c r="F64" s="134" t="s">
        <v>447</v>
      </c>
      <c r="G64" s="424"/>
    </row>
    <row r="65" spans="1:7" ht="15" customHeight="1">
      <c r="A65" s="250">
        <v>15</v>
      </c>
      <c r="B65" s="433">
        <v>43100</v>
      </c>
      <c r="C65" s="250" t="s">
        <v>232</v>
      </c>
      <c r="D65" s="250" t="s">
        <v>233</v>
      </c>
      <c r="E65" s="448">
        <v>72.16</v>
      </c>
      <c r="F65" s="134" t="s">
        <v>447</v>
      </c>
      <c r="G65" s="424"/>
    </row>
    <row r="66" spans="1:7" ht="15" customHeight="1">
      <c r="A66" s="250">
        <v>15</v>
      </c>
      <c r="B66" s="433">
        <v>43100</v>
      </c>
      <c r="C66" s="250" t="s">
        <v>141</v>
      </c>
      <c r="D66" s="250" t="s">
        <v>142</v>
      </c>
      <c r="E66" s="448">
        <v>742.76</v>
      </c>
      <c r="F66" s="134" t="s">
        <v>447</v>
      </c>
      <c r="G66" s="424"/>
    </row>
    <row r="69" spans="2:5" ht="12.75">
      <c r="B69" s="133" t="s">
        <v>821</v>
      </c>
      <c r="C69" s="424" t="s">
        <v>822</v>
      </c>
      <c r="E69" s="403">
        <f>E4+E7+E10+E15+E18+E21+E24+E40+E43+E46+E49+E50+E51+E54+E58</f>
        <v>1265193.4699999997</v>
      </c>
    </row>
    <row r="70" spans="3:5" ht="12.75">
      <c r="C70" s="424" t="s">
        <v>823</v>
      </c>
      <c r="E70" s="403">
        <f>E5+E8+E11+E12+E13+E16+E19+E22+E25+E26+E27+E28+E29+E30+E31+E32+E33+E35+E36+E37+E38+E41+E44+E47+E52+E55+E59+E61+E62+E63+E64+E65+E66</f>
        <v>1265193.4699999997</v>
      </c>
    </row>
    <row r="71" spans="3:5" ht="12.75">
      <c r="C71" s="424" t="s">
        <v>824</v>
      </c>
      <c r="E71" s="403">
        <f>E70-E69</f>
        <v>0</v>
      </c>
    </row>
  </sheetData>
  <sheetProtection/>
  <mergeCells count="1">
    <mergeCell ref="A1:F1"/>
  </mergeCells>
  <printOptions/>
  <pageMargins left="0.7086614173228347" right="0.7086614173228347" top="0.3937007874015748" bottom="0.2755905511811024" header="0.31496062992125984" footer="0.31496062992125984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49"/>
  <sheetViews>
    <sheetView zoomScale="90" zoomScaleNormal="90" zoomScalePageLayoutView="0" workbookViewId="0" topLeftCell="A5">
      <pane ySplit="1" topLeftCell="A19" activePane="bottomLeft" state="frozen"/>
      <selection pane="topLeft" activeCell="A5" sqref="A5"/>
      <selection pane="bottomLeft" activeCell="C78" sqref="C78"/>
    </sheetView>
  </sheetViews>
  <sheetFormatPr defaultColWidth="9.140625" defaultRowHeight="12.75"/>
  <cols>
    <col min="1" max="1" width="13.00390625" style="1" customWidth="1"/>
    <col min="2" max="2" width="50.140625" style="1" customWidth="1"/>
    <col min="3" max="3" width="15.28125" style="3" customWidth="1"/>
    <col min="4" max="4" width="14.28125" style="3" customWidth="1"/>
    <col min="5" max="6" width="15.28125" style="3" customWidth="1"/>
    <col min="7" max="7" width="17.421875" style="7" bestFit="1" customWidth="1"/>
    <col min="8" max="8" width="12.7109375" style="1" bestFit="1" customWidth="1"/>
    <col min="9" max="9" width="27.421875" style="1" bestFit="1" customWidth="1"/>
    <col min="10" max="10" width="28.140625" style="1" customWidth="1"/>
    <col min="11" max="11" width="10.8515625" style="1" bestFit="1" customWidth="1"/>
    <col min="12" max="12" width="21.8515625" style="1" bestFit="1" customWidth="1"/>
    <col min="13" max="13" width="12.57421875" style="1" bestFit="1" customWidth="1"/>
    <col min="14" max="14" width="15.140625" style="1" customWidth="1"/>
    <col min="15" max="15" width="10.421875" style="1" bestFit="1" customWidth="1"/>
    <col min="16" max="16384" width="9.140625" style="1" customWidth="1"/>
  </cols>
  <sheetData>
    <row r="1" spans="1:13" s="41" customFormat="1" ht="18" customHeight="1" hidden="1">
      <c r="A1" s="619" t="s">
        <v>192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41" customFormat="1" ht="18" customHeight="1" hidden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8" s="42" customFormat="1" ht="18" customHeight="1" hidden="1">
      <c r="A3" s="616"/>
      <c r="B3" s="617"/>
      <c r="C3" s="617"/>
      <c r="D3" s="43"/>
      <c r="E3" s="43"/>
      <c r="F3" s="43"/>
      <c r="G3" s="190"/>
      <c r="H3" s="191"/>
    </row>
    <row r="4" spans="1:13" s="42" customFormat="1" ht="23.25" customHeight="1" hidden="1" thickBot="1">
      <c r="A4" s="618" t="s">
        <v>307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 s="32" customFormat="1" ht="40.5" customHeight="1">
      <c r="A5" s="31" t="s">
        <v>8</v>
      </c>
      <c r="B5" s="74" t="s">
        <v>7</v>
      </c>
      <c r="C5" s="420" t="s">
        <v>703</v>
      </c>
      <c r="D5" s="229" t="s">
        <v>6</v>
      </c>
      <c r="E5" s="117" t="s">
        <v>283</v>
      </c>
      <c r="F5" s="115" t="s">
        <v>284</v>
      </c>
      <c r="G5" s="116" t="s">
        <v>285</v>
      </c>
      <c r="H5" s="116" t="s">
        <v>286</v>
      </c>
      <c r="I5" s="144" t="s">
        <v>287</v>
      </c>
      <c r="J5" s="385" t="s">
        <v>335</v>
      </c>
      <c r="K5" s="385" t="s">
        <v>468</v>
      </c>
      <c r="L5" s="386" t="s">
        <v>469</v>
      </c>
      <c r="M5" s="367" t="s">
        <v>288</v>
      </c>
    </row>
    <row r="6" spans="1:13" s="25" customFormat="1" ht="7.5" customHeight="1">
      <c r="A6" s="24"/>
      <c r="B6" s="638"/>
      <c r="C6" s="368"/>
      <c r="D6" s="118"/>
      <c r="E6" s="120"/>
      <c r="F6" s="118"/>
      <c r="G6" s="119"/>
      <c r="H6" s="119"/>
      <c r="I6" s="120"/>
      <c r="J6" s="217"/>
      <c r="K6" s="217"/>
      <c r="L6" s="379"/>
      <c r="M6" s="368"/>
    </row>
    <row r="7" spans="1:13" s="30" customFormat="1" ht="21.75" customHeight="1">
      <c r="A7" s="29" t="s">
        <v>46</v>
      </c>
      <c r="B7" s="639" t="s">
        <v>47</v>
      </c>
      <c r="C7" s="369"/>
      <c r="D7" s="230"/>
      <c r="E7" s="146"/>
      <c r="F7" s="145"/>
      <c r="G7" s="147"/>
      <c r="H7" s="147"/>
      <c r="I7" s="121"/>
      <c r="J7" s="218"/>
      <c r="K7" s="218"/>
      <c r="L7" s="380"/>
      <c r="M7" s="369"/>
    </row>
    <row r="8" spans="1:13" ht="15" customHeight="1">
      <c r="A8" s="22" t="s">
        <v>63</v>
      </c>
      <c r="B8" s="640" t="s">
        <v>5</v>
      </c>
      <c r="C8" s="370"/>
      <c r="D8" s="231"/>
      <c r="E8" s="124"/>
      <c r="F8" s="122"/>
      <c r="G8" s="123"/>
      <c r="H8" s="123"/>
      <c r="I8" s="124"/>
      <c r="J8" s="219"/>
      <c r="K8" s="219"/>
      <c r="L8" s="381"/>
      <c r="M8" s="370"/>
    </row>
    <row r="9" spans="1:13" s="5" customFormat="1" ht="15" customHeight="1">
      <c r="A9" s="26" t="s">
        <v>48</v>
      </c>
      <c r="B9" s="641" t="s">
        <v>121</v>
      </c>
      <c r="C9" s="371"/>
      <c r="D9" s="232"/>
      <c r="E9" s="148"/>
      <c r="F9" s="92"/>
      <c r="G9" s="107"/>
      <c r="H9" s="107"/>
      <c r="I9" s="108"/>
      <c r="J9" s="220"/>
      <c r="K9" s="220"/>
      <c r="L9" s="382"/>
      <c r="M9" s="371"/>
    </row>
    <row r="10" spans="1:15" s="34" customFormat="1" ht="15" customHeight="1">
      <c r="A10" s="33" t="s">
        <v>64</v>
      </c>
      <c r="B10" s="642" t="s">
        <v>122</v>
      </c>
      <c r="C10" s="630"/>
      <c r="D10" s="93"/>
      <c r="E10" s="95"/>
      <c r="F10" s="93"/>
      <c r="G10" s="94"/>
      <c r="H10" s="94"/>
      <c r="I10" s="95"/>
      <c r="J10" s="221"/>
      <c r="K10" s="221"/>
      <c r="L10" s="383"/>
      <c r="M10" s="363"/>
      <c r="N10" s="277"/>
      <c r="O10" s="1"/>
    </row>
    <row r="11" spans="1:16" ht="13.5" customHeight="1">
      <c r="A11" s="20" t="s">
        <v>49</v>
      </c>
      <c r="B11" s="643" t="s">
        <v>124</v>
      </c>
      <c r="C11" s="375">
        <v>1904</v>
      </c>
      <c r="D11" s="88">
        <v>0</v>
      </c>
      <c r="E11" s="90">
        <f>C11+D11</f>
        <v>1904</v>
      </c>
      <c r="F11" s="88">
        <f>IMPEGNI!D62</f>
        <v>1903.2</v>
      </c>
      <c r="G11" s="89">
        <v>0</v>
      </c>
      <c r="H11" s="89">
        <f>F11-G11</f>
        <v>1903.2</v>
      </c>
      <c r="I11" s="90">
        <f>E11-F11</f>
        <v>0.7999999999999545</v>
      </c>
      <c r="J11" s="222">
        <f>IMPEGNI!D39</f>
        <v>1903.2</v>
      </c>
      <c r="K11" s="222">
        <v>1903.2</v>
      </c>
      <c r="L11" s="384">
        <f>J11-K11</f>
        <v>0</v>
      </c>
      <c r="M11" s="364">
        <f>G11+K11</f>
        <v>1903.2</v>
      </c>
      <c r="N11" s="278"/>
      <c r="O11" s="4"/>
      <c r="P11" s="4"/>
    </row>
    <row r="12" spans="1:16" ht="13.5" customHeight="1">
      <c r="A12" s="20" t="s">
        <v>50</v>
      </c>
      <c r="B12" s="643" t="s">
        <v>125</v>
      </c>
      <c r="C12" s="375">
        <v>0</v>
      </c>
      <c r="D12" s="88">
        <f>'variazioni di bilancio'!E38</f>
        <v>25.5</v>
      </c>
      <c r="E12" s="90">
        <f>C12+D12</f>
        <v>25.5</v>
      </c>
      <c r="F12" s="88">
        <v>25.5</v>
      </c>
      <c r="G12" s="88">
        <v>25.5</v>
      </c>
      <c r="H12" s="89">
        <f>F12-G12</f>
        <v>0</v>
      </c>
      <c r="I12" s="90">
        <f>E12-F12</f>
        <v>0</v>
      </c>
      <c r="J12" s="223">
        <v>0</v>
      </c>
      <c r="K12" s="223">
        <v>0</v>
      </c>
      <c r="L12" s="384">
        <f aca="true" t="shared" si="0" ref="L12:L75">J12-K12</f>
        <v>0</v>
      </c>
      <c r="M12" s="364">
        <f>G12+K12</f>
        <v>25.5</v>
      </c>
      <c r="N12" s="278"/>
      <c r="O12" s="4"/>
      <c r="P12" s="4"/>
    </row>
    <row r="13" spans="1:16" ht="15" customHeight="1">
      <c r="A13" s="8"/>
      <c r="B13" s="644" t="s">
        <v>123</v>
      </c>
      <c r="C13" s="631">
        <f>SUM(C11:C12)</f>
        <v>1904</v>
      </c>
      <c r="D13" s="91">
        <f aca="true" t="shared" si="1" ref="D13:M13">SUM(D11:D12)</f>
        <v>25.5</v>
      </c>
      <c r="E13" s="91">
        <f t="shared" si="1"/>
        <v>1929.5</v>
      </c>
      <c r="F13" s="91">
        <f t="shared" si="1"/>
        <v>1928.7</v>
      </c>
      <c r="G13" s="91">
        <f t="shared" si="1"/>
        <v>25.5</v>
      </c>
      <c r="H13" s="91">
        <f t="shared" si="1"/>
        <v>1903.2</v>
      </c>
      <c r="I13" s="91">
        <f t="shared" si="1"/>
        <v>0.7999999999999545</v>
      </c>
      <c r="J13" s="387">
        <f t="shared" si="1"/>
        <v>1903.2</v>
      </c>
      <c r="K13" s="387">
        <f t="shared" si="1"/>
        <v>1903.2</v>
      </c>
      <c r="L13" s="387">
        <f t="shared" si="1"/>
        <v>0</v>
      </c>
      <c r="M13" s="91">
        <f t="shared" si="1"/>
        <v>1928.7</v>
      </c>
      <c r="N13" s="278"/>
      <c r="O13" s="4"/>
      <c r="P13" s="17"/>
    </row>
    <row r="14" spans="1:16" ht="15" customHeight="1">
      <c r="A14" s="13" t="s">
        <v>51</v>
      </c>
      <c r="B14" s="645" t="s">
        <v>68</v>
      </c>
      <c r="C14" s="632"/>
      <c r="D14" s="100"/>
      <c r="E14" s="97"/>
      <c r="F14" s="100"/>
      <c r="G14" s="96"/>
      <c r="H14" s="96"/>
      <c r="I14" s="97"/>
      <c r="J14" s="224"/>
      <c r="K14" s="224"/>
      <c r="L14" s="384">
        <f t="shared" si="0"/>
        <v>0</v>
      </c>
      <c r="M14" s="372"/>
      <c r="N14" s="278"/>
      <c r="O14" s="4"/>
      <c r="P14" s="17"/>
    </row>
    <row r="15" spans="1:16" ht="60" customHeight="1">
      <c r="A15" s="20" t="s">
        <v>52</v>
      </c>
      <c r="B15" s="646" t="s">
        <v>126</v>
      </c>
      <c r="C15" s="373">
        <v>7538</v>
      </c>
      <c r="D15" s="125">
        <f>'variazioni di bilancio'!E36+'variazioni di bilancio'!E62</f>
        <v>5392.74</v>
      </c>
      <c r="E15" s="90">
        <f>C15+D15</f>
        <v>12930.74</v>
      </c>
      <c r="F15" s="125">
        <f>'PARTITARIO SPESE'!J12+IMPEGNI!D63+IMPEGNI!D64</f>
        <v>12930.74</v>
      </c>
      <c r="G15" s="98">
        <v>7700</v>
      </c>
      <c r="H15" s="98">
        <f>F15-G15</f>
        <v>5230.74</v>
      </c>
      <c r="I15" s="99">
        <f>E15-F15</f>
        <v>0</v>
      </c>
      <c r="J15" s="222">
        <f>IMPEGNI!D40+IMPEGNI!D41</f>
        <v>4730.74</v>
      </c>
      <c r="K15" s="222">
        <v>4730.74</v>
      </c>
      <c r="L15" s="384">
        <f t="shared" si="0"/>
        <v>0</v>
      </c>
      <c r="M15" s="365">
        <f>G15+K15</f>
        <v>12430.74</v>
      </c>
      <c r="N15" s="278"/>
      <c r="O15" s="4"/>
      <c r="P15" s="17"/>
    </row>
    <row r="16" spans="1:16" ht="29.25" customHeight="1">
      <c r="A16" s="20" t="s">
        <v>53</v>
      </c>
      <c r="B16" s="646" t="s">
        <v>127</v>
      </c>
      <c r="C16" s="375">
        <v>0</v>
      </c>
      <c r="D16" s="88">
        <v>0</v>
      </c>
      <c r="E16" s="90">
        <f>C16+D16</f>
        <v>0</v>
      </c>
      <c r="F16" s="88">
        <v>0</v>
      </c>
      <c r="G16" s="89">
        <v>0</v>
      </c>
      <c r="H16" s="89">
        <f>F16-G16</f>
        <v>0</v>
      </c>
      <c r="I16" s="99">
        <f>E16-F16</f>
        <v>0</v>
      </c>
      <c r="J16" s="223">
        <v>0</v>
      </c>
      <c r="K16" s="223">
        <v>0</v>
      </c>
      <c r="L16" s="384">
        <f t="shared" si="0"/>
        <v>0</v>
      </c>
      <c r="M16" s="364">
        <f>G16+K16</f>
        <v>0</v>
      </c>
      <c r="N16" s="278"/>
      <c r="O16" s="4"/>
      <c r="P16" s="17"/>
    </row>
    <row r="17" spans="1:16" ht="29.25" customHeight="1">
      <c r="A17" s="143" t="s">
        <v>54</v>
      </c>
      <c r="B17" s="646" t="s">
        <v>259</v>
      </c>
      <c r="C17" s="536">
        <v>16250</v>
      </c>
      <c r="D17" s="88">
        <f>'variazioni di bilancio'!E28+'variazioni di bilancio'!E31+'variazioni di bilancio'!E32+'variazioni di bilancio'!E63</f>
        <v>3412.5</v>
      </c>
      <c r="E17" s="90">
        <f>C17+D17</f>
        <v>19662.5</v>
      </c>
      <c r="F17" s="88">
        <f>18150+1512.5</f>
        <v>19662.5</v>
      </c>
      <c r="G17" s="89">
        <f>18150+1512.5</f>
        <v>19662.5</v>
      </c>
      <c r="H17" s="89">
        <f>F17-G17</f>
        <v>0</v>
      </c>
      <c r="I17" s="99">
        <f>E17-F17</f>
        <v>0</v>
      </c>
      <c r="J17" s="223">
        <v>0</v>
      </c>
      <c r="K17" s="223">
        <v>0</v>
      </c>
      <c r="L17" s="384">
        <f t="shared" si="0"/>
        <v>0</v>
      </c>
      <c r="M17" s="364">
        <f>G17+K17</f>
        <v>19662.5</v>
      </c>
      <c r="N17" s="278"/>
      <c r="O17" s="4"/>
      <c r="P17" s="17"/>
    </row>
    <row r="18" spans="1:16" ht="13.5" customHeight="1">
      <c r="A18" s="143" t="s">
        <v>258</v>
      </c>
      <c r="B18" s="646" t="s">
        <v>128</v>
      </c>
      <c r="C18" s="537">
        <v>0</v>
      </c>
      <c r="D18" s="45">
        <v>0</v>
      </c>
      <c r="E18" s="90">
        <f>C18+D18</f>
        <v>0</v>
      </c>
      <c r="F18" s="45"/>
      <c r="G18" s="189"/>
      <c r="H18" s="189"/>
      <c r="I18" s="238"/>
      <c r="J18" s="239"/>
      <c r="K18" s="239"/>
      <c r="L18" s="384">
        <f t="shared" si="0"/>
        <v>0</v>
      </c>
      <c r="M18" s="6"/>
      <c r="N18" s="278"/>
      <c r="O18" s="4"/>
      <c r="P18" s="17"/>
    </row>
    <row r="19" spans="1:16" ht="15" customHeight="1">
      <c r="A19" s="9"/>
      <c r="B19" s="647" t="s">
        <v>185</v>
      </c>
      <c r="C19" s="631">
        <f>SUM(C15:C18)</f>
        <v>23788</v>
      </c>
      <c r="D19" s="91">
        <f aca="true" t="shared" si="2" ref="D19:M19">SUM(D15:D18)</f>
        <v>8805.24</v>
      </c>
      <c r="E19" s="91">
        <f t="shared" si="2"/>
        <v>32593.239999999998</v>
      </c>
      <c r="F19" s="91">
        <f t="shared" si="2"/>
        <v>32593.239999999998</v>
      </c>
      <c r="G19" s="91">
        <f t="shared" si="2"/>
        <v>27362.5</v>
      </c>
      <c r="H19" s="91">
        <f t="shared" si="2"/>
        <v>5230.74</v>
      </c>
      <c r="I19" s="91">
        <f t="shared" si="2"/>
        <v>0</v>
      </c>
      <c r="J19" s="387">
        <f t="shared" si="2"/>
        <v>4730.74</v>
      </c>
      <c r="K19" s="387">
        <f t="shared" si="2"/>
        <v>4730.74</v>
      </c>
      <c r="L19" s="387">
        <f t="shared" si="2"/>
        <v>0</v>
      </c>
      <c r="M19" s="91">
        <f t="shared" si="2"/>
        <v>32093.239999999998</v>
      </c>
      <c r="N19" s="278"/>
      <c r="O19" s="4"/>
      <c r="P19" s="17"/>
    </row>
    <row r="20" spans="1:16" ht="15" customHeight="1">
      <c r="A20" s="13" t="s">
        <v>55</v>
      </c>
      <c r="B20" s="645" t="s">
        <v>129</v>
      </c>
      <c r="C20" s="632"/>
      <c r="D20" s="100"/>
      <c r="E20" s="97"/>
      <c r="F20" s="100"/>
      <c r="G20" s="96"/>
      <c r="H20" s="96"/>
      <c r="I20" s="97"/>
      <c r="J20" s="224"/>
      <c r="K20" s="224"/>
      <c r="L20" s="384">
        <f t="shared" si="0"/>
        <v>0</v>
      </c>
      <c r="M20" s="372"/>
      <c r="N20" s="278"/>
      <c r="O20" s="4"/>
      <c r="P20" s="17"/>
    </row>
    <row r="21" spans="1:16" ht="13.5" customHeight="1">
      <c r="A21" s="20" t="s">
        <v>56</v>
      </c>
      <c r="B21" s="646" t="s">
        <v>130</v>
      </c>
      <c r="C21" s="633"/>
      <c r="D21" s="88"/>
      <c r="E21" s="102"/>
      <c r="F21" s="101"/>
      <c r="G21" s="126"/>
      <c r="H21" s="126"/>
      <c r="I21" s="102"/>
      <c r="J21" s="225"/>
      <c r="K21" s="225"/>
      <c r="L21" s="384">
        <f t="shared" si="0"/>
        <v>0</v>
      </c>
      <c r="M21" s="366"/>
      <c r="N21" s="278"/>
      <c r="O21" s="4"/>
      <c r="P21" s="17"/>
    </row>
    <row r="22" spans="1:16" ht="27" customHeight="1">
      <c r="A22" s="20" t="s">
        <v>57</v>
      </c>
      <c r="B22" s="646" t="s">
        <v>69</v>
      </c>
      <c r="C22" s="538">
        <v>150</v>
      </c>
      <c r="D22" s="233">
        <v>0</v>
      </c>
      <c r="E22" s="90">
        <f>C22+D22</f>
        <v>150</v>
      </c>
      <c r="F22" s="125">
        <v>0</v>
      </c>
      <c r="G22" s="98">
        <v>0</v>
      </c>
      <c r="H22" s="98">
        <f>F22-G22</f>
        <v>0</v>
      </c>
      <c r="I22" s="90">
        <f>E22-F22</f>
        <v>150</v>
      </c>
      <c r="J22" s="222">
        <v>0</v>
      </c>
      <c r="K22" s="222">
        <v>0</v>
      </c>
      <c r="L22" s="384">
        <f t="shared" si="0"/>
        <v>0</v>
      </c>
      <c r="M22" s="365">
        <f>G22+K22</f>
        <v>0</v>
      </c>
      <c r="N22" s="278"/>
      <c r="O22" s="4"/>
      <c r="P22" s="4"/>
    </row>
    <row r="23" spans="1:15" s="4" customFormat="1" ht="12" customHeight="1">
      <c r="A23" s="14" t="s">
        <v>58</v>
      </c>
      <c r="B23" s="646" t="s">
        <v>71</v>
      </c>
      <c r="C23" s="375">
        <v>150</v>
      </c>
      <c r="D23" s="88">
        <v>0</v>
      </c>
      <c r="E23" s="90">
        <f>C23+D23</f>
        <v>150</v>
      </c>
      <c r="F23" s="88">
        <f>14.6+8.8</f>
        <v>23.4</v>
      </c>
      <c r="G23" s="89">
        <v>23.4</v>
      </c>
      <c r="H23" s="98">
        <f aca="true" t="shared" si="3" ref="H23:H32">F23-G23</f>
        <v>0</v>
      </c>
      <c r="I23" s="90">
        <f aca="true" t="shared" si="4" ref="I23:I32">E23-F23</f>
        <v>126.6</v>
      </c>
      <c r="J23" s="223">
        <v>0</v>
      </c>
      <c r="K23" s="223">
        <v>0</v>
      </c>
      <c r="L23" s="384">
        <f t="shared" si="0"/>
        <v>0</v>
      </c>
      <c r="M23" s="365">
        <f>G23+K23</f>
        <v>23.4</v>
      </c>
      <c r="N23" s="278"/>
      <c r="O23" s="1"/>
    </row>
    <row r="24" spans="1:14" ht="13.5" customHeight="1">
      <c r="A24" s="9" t="s">
        <v>65</v>
      </c>
      <c r="B24" s="646" t="s">
        <v>72</v>
      </c>
      <c r="C24" s="375">
        <v>0</v>
      </c>
      <c r="D24" s="88">
        <v>0</v>
      </c>
      <c r="E24" s="90">
        <f aca="true" t="shared" si="5" ref="E24:E32">C24+D24</f>
        <v>0</v>
      </c>
      <c r="F24" s="88">
        <v>0</v>
      </c>
      <c r="G24" s="89">
        <f>SUM(E24:F24)</f>
        <v>0</v>
      </c>
      <c r="H24" s="98">
        <f t="shared" si="3"/>
        <v>0</v>
      </c>
      <c r="I24" s="90">
        <f t="shared" si="4"/>
        <v>0</v>
      </c>
      <c r="J24" s="223">
        <v>0</v>
      </c>
      <c r="K24" s="223">
        <v>0</v>
      </c>
      <c r="L24" s="384">
        <f t="shared" si="0"/>
        <v>0</v>
      </c>
      <c r="M24" s="365">
        <f>G24+K24</f>
        <v>0</v>
      </c>
      <c r="N24" s="278"/>
    </row>
    <row r="25" spans="1:14" ht="13.5" customHeight="1">
      <c r="A25" s="9" t="s">
        <v>66</v>
      </c>
      <c r="B25" s="646" t="s">
        <v>70</v>
      </c>
      <c r="C25" s="375">
        <v>0</v>
      </c>
      <c r="D25" s="88">
        <v>0</v>
      </c>
      <c r="E25" s="90">
        <f t="shared" si="5"/>
        <v>0</v>
      </c>
      <c r="F25" s="88">
        <v>0</v>
      </c>
      <c r="G25" s="89">
        <v>0</v>
      </c>
      <c r="H25" s="98">
        <f t="shared" si="3"/>
        <v>0</v>
      </c>
      <c r="I25" s="90">
        <f t="shared" si="4"/>
        <v>0</v>
      </c>
      <c r="J25" s="223">
        <v>0</v>
      </c>
      <c r="K25" s="223">
        <v>0</v>
      </c>
      <c r="L25" s="384">
        <f t="shared" si="0"/>
        <v>0</v>
      </c>
      <c r="M25" s="365">
        <f>G25+K25</f>
        <v>0</v>
      </c>
      <c r="N25" s="278"/>
    </row>
    <row r="26" spans="1:14" ht="13.5" customHeight="1">
      <c r="A26" s="9" t="s">
        <v>67</v>
      </c>
      <c r="B26" s="646" t="s">
        <v>73</v>
      </c>
      <c r="C26" s="375">
        <f>SUM(A24:B24)</f>
        <v>0</v>
      </c>
      <c r="D26" s="88">
        <v>0</v>
      </c>
      <c r="E26" s="90">
        <f t="shared" si="5"/>
        <v>0</v>
      </c>
      <c r="F26" s="88">
        <v>0</v>
      </c>
      <c r="G26" s="89">
        <v>0</v>
      </c>
      <c r="H26" s="98">
        <f t="shared" si="3"/>
        <v>0</v>
      </c>
      <c r="I26" s="90">
        <f t="shared" si="4"/>
        <v>0</v>
      </c>
      <c r="J26" s="223">
        <v>0</v>
      </c>
      <c r="K26" s="223">
        <v>0</v>
      </c>
      <c r="L26" s="384">
        <f t="shared" si="0"/>
        <v>0</v>
      </c>
      <c r="M26" s="602">
        <f aca="true" t="shared" si="6" ref="M26:M32">G26+K26</f>
        <v>0</v>
      </c>
      <c r="N26" s="4"/>
    </row>
    <row r="27" spans="1:14" ht="13.5" customHeight="1">
      <c r="A27" s="20" t="s">
        <v>131</v>
      </c>
      <c r="B27" s="646" t="s">
        <v>186</v>
      </c>
      <c r="C27" s="375">
        <v>0</v>
      </c>
      <c r="D27" s="88">
        <v>0</v>
      </c>
      <c r="E27" s="90">
        <f t="shared" si="5"/>
        <v>0</v>
      </c>
      <c r="F27" s="88">
        <v>0</v>
      </c>
      <c r="G27" s="89">
        <v>0</v>
      </c>
      <c r="H27" s="98">
        <f t="shared" si="3"/>
        <v>0</v>
      </c>
      <c r="I27" s="90">
        <f t="shared" si="4"/>
        <v>0</v>
      </c>
      <c r="J27" s="223">
        <v>0</v>
      </c>
      <c r="K27" s="223">
        <v>0</v>
      </c>
      <c r="L27" s="384">
        <f t="shared" si="0"/>
        <v>0</v>
      </c>
      <c r="M27" s="602">
        <f t="shared" si="6"/>
        <v>0</v>
      </c>
      <c r="N27" s="4"/>
    </row>
    <row r="28" spans="1:14" ht="13.5" customHeight="1">
      <c r="A28" s="20" t="s">
        <v>132</v>
      </c>
      <c r="B28" s="646" t="s">
        <v>157</v>
      </c>
      <c r="C28" s="375">
        <f>SUM(A26:B26)</f>
        <v>0</v>
      </c>
      <c r="D28" s="88">
        <v>0</v>
      </c>
      <c r="E28" s="90">
        <f t="shared" si="5"/>
        <v>0</v>
      </c>
      <c r="F28" s="88">
        <v>0</v>
      </c>
      <c r="G28" s="89">
        <v>0</v>
      </c>
      <c r="H28" s="98">
        <f t="shared" si="3"/>
        <v>0</v>
      </c>
      <c r="I28" s="90">
        <f t="shared" si="4"/>
        <v>0</v>
      </c>
      <c r="J28" s="223">
        <v>0</v>
      </c>
      <c r="K28" s="223">
        <v>0</v>
      </c>
      <c r="L28" s="384">
        <f t="shared" si="0"/>
        <v>0</v>
      </c>
      <c r="M28" s="602">
        <f t="shared" si="6"/>
        <v>0</v>
      </c>
      <c r="N28" s="4"/>
    </row>
    <row r="29" spans="1:13" ht="13.5" customHeight="1">
      <c r="A29" s="14" t="s">
        <v>133</v>
      </c>
      <c r="B29" s="646" t="s">
        <v>187</v>
      </c>
      <c r="C29" s="375">
        <f>SUM(A27:B27)</f>
        <v>0</v>
      </c>
      <c r="D29" s="88">
        <v>0</v>
      </c>
      <c r="E29" s="90">
        <f t="shared" si="5"/>
        <v>0</v>
      </c>
      <c r="F29" s="88">
        <v>0</v>
      </c>
      <c r="G29" s="89">
        <v>0</v>
      </c>
      <c r="H29" s="98">
        <f t="shared" si="3"/>
        <v>0</v>
      </c>
      <c r="I29" s="90">
        <f t="shared" si="4"/>
        <v>0</v>
      </c>
      <c r="J29" s="223">
        <v>0</v>
      </c>
      <c r="K29" s="223">
        <v>0</v>
      </c>
      <c r="L29" s="384">
        <f t="shared" si="0"/>
        <v>0</v>
      </c>
      <c r="M29" s="602">
        <f t="shared" si="6"/>
        <v>0</v>
      </c>
    </row>
    <row r="30" spans="1:13" ht="13.5" customHeight="1">
      <c r="A30" s="9" t="s">
        <v>134</v>
      </c>
      <c r="B30" s="646" t="s">
        <v>74</v>
      </c>
      <c r="C30" s="375">
        <f>SUM(A28:B28)</f>
        <v>0</v>
      </c>
      <c r="D30" s="88">
        <v>0</v>
      </c>
      <c r="E30" s="90">
        <f t="shared" si="5"/>
        <v>0</v>
      </c>
      <c r="F30" s="88">
        <v>0</v>
      </c>
      <c r="G30" s="89">
        <v>0</v>
      </c>
      <c r="H30" s="98">
        <f t="shared" si="3"/>
        <v>0</v>
      </c>
      <c r="I30" s="90">
        <f t="shared" si="4"/>
        <v>0</v>
      </c>
      <c r="J30" s="223">
        <v>0</v>
      </c>
      <c r="K30" s="223">
        <v>0</v>
      </c>
      <c r="L30" s="384">
        <f t="shared" si="0"/>
        <v>0</v>
      </c>
      <c r="M30" s="602">
        <f t="shared" si="6"/>
        <v>0</v>
      </c>
    </row>
    <row r="31" spans="1:13" ht="13.5" customHeight="1">
      <c r="A31" s="9" t="s">
        <v>135</v>
      </c>
      <c r="B31" s="646" t="s">
        <v>158</v>
      </c>
      <c r="C31" s="375">
        <v>120</v>
      </c>
      <c r="D31" s="88">
        <f>'variazioni di bilancio'!E64</f>
        <v>113.97</v>
      </c>
      <c r="E31" s="90">
        <f t="shared" si="5"/>
        <v>233.97</v>
      </c>
      <c r="F31" s="88">
        <v>233.97</v>
      </c>
      <c r="G31" s="89">
        <v>233.97</v>
      </c>
      <c r="H31" s="98">
        <f t="shared" si="3"/>
        <v>0</v>
      </c>
      <c r="I31" s="90">
        <f t="shared" si="4"/>
        <v>0</v>
      </c>
      <c r="J31" s="223">
        <v>0</v>
      </c>
      <c r="K31" s="223">
        <v>0</v>
      </c>
      <c r="L31" s="384">
        <f t="shared" si="0"/>
        <v>0</v>
      </c>
      <c r="M31" s="602">
        <f t="shared" si="6"/>
        <v>233.97</v>
      </c>
    </row>
    <row r="32" spans="1:13" ht="13.5" customHeight="1">
      <c r="A32" s="9" t="s">
        <v>136</v>
      </c>
      <c r="B32" s="646" t="s">
        <v>159</v>
      </c>
      <c r="C32" s="375">
        <v>0</v>
      </c>
      <c r="D32" s="234">
        <v>0</v>
      </c>
      <c r="E32" s="90">
        <f t="shared" si="5"/>
        <v>0</v>
      </c>
      <c r="F32" s="88">
        <v>0</v>
      </c>
      <c r="G32" s="89">
        <v>0</v>
      </c>
      <c r="H32" s="98">
        <f t="shared" si="3"/>
        <v>0</v>
      </c>
      <c r="I32" s="90">
        <f t="shared" si="4"/>
        <v>0</v>
      </c>
      <c r="J32" s="223">
        <v>0</v>
      </c>
      <c r="K32" s="223">
        <v>0</v>
      </c>
      <c r="L32" s="384">
        <f t="shared" si="0"/>
        <v>0</v>
      </c>
      <c r="M32" s="603">
        <f t="shared" si="6"/>
        <v>0</v>
      </c>
    </row>
    <row r="33" spans="1:13" ht="15" customHeight="1" thickBot="1">
      <c r="A33" s="8"/>
      <c r="B33" s="647" t="s">
        <v>137</v>
      </c>
      <c r="C33" s="634">
        <f>SUM(C22:C32)</f>
        <v>420</v>
      </c>
      <c r="D33" s="127">
        <f aca="true" t="shared" si="7" ref="D33:M33">SUM(D22:D32)</f>
        <v>113.97</v>
      </c>
      <c r="E33" s="127">
        <f t="shared" si="7"/>
        <v>533.97</v>
      </c>
      <c r="F33" s="127">
        <f t="shared" si="7"/>
        <v>257.37</v>
      </c>
      <c r="G33" s="127">
        <f t="shared" si="7"/>
        <v>257.37</v>
      </c>
      <c r="H33" s="127">
        <f t="shared" si="7"/>
        <v>0</v>
      </c>
      <c r="I33" s="127">
        <f t="shared" si="7"/>
        <v>276.6</v>
      </c>
      <c r="J33" s="388">
        <f t="shared" si="7"/>
        <v>0</v>
      </c>
      <c r="K33" s="388">
        <f t="shared" si="7"/>
        <v>0</v>
      </c>
      <c r="L33" s="388">
        <f t="shared" si="7"/>
        <v>0</v>
      </c>
      <c r="M33" s="127">
        <f t="shared" si="7"/>
        <v>257.37</v>
      </c>
    </row>
    <row r="34" spans="1:13" ht="15" customHeight="1">
      <c r="A34" s="13" t="s">
        <v>59</v>
      </c>
      <c r="B34" s="645" t="s">
        <v>80</v>
      </c>
      <c r="C34" s="374"/>
      <c r="D34" s="100"/>
      <c r="E34" s="97"/>
      <c r="F34" s="103"/>
      <c r="G34" s="105"/>
      <c r="H34" s="105"/>
      <c r="I34" s="106"/>
      <c r="J34" s="224"/>
      <c r="K34" s="224"/>
      <c r="L34" s="384">
        <f t="shared" si="0"/>
        <v>0</v>
      </c>
      <c r="M34" s="374"/>
    </row>
    <row r="35" spans="1:13" ht="27" customHeight="1">
      <c r="A35" s="20" t="s">
        <v>60</v>
      </c>
      <c r="B35" s="646" t="s">
        <v>138</v>
      </c>
      <c r="C35" s="373">
        <v>0</v>
      </c>
      <c r="D35" s="125"/>
      <c r="E35" s="90">
        <f>C35+D35</f>
        <v>0</v>
      </c>
      <c r="F35" s="125">
        <v>0</v>
      </c>
      <c r="G35" s="98">
        <v>0</v>
      </c>
      <c r="H35" s="98">
        <f>F35-G35</f>
        <v>0</v>
      </c>
      <c r="I35" s="99">
        <f>E35-F35</f>
        <v>0</v>
      </c>
      <c r="J35" s="222">
        <v>0</v>
      </c>
      <c r="K35" s="222">
        <v>0</v>
      </c>
      <c r="L35" s="384">
        <f t="shared" si="0"/>
        <v>0</v>
      </c>
      <c r="M35" s="373">
        <f>G35+K35</f>
        <v>0</v>
      </c>
    </row>
    <row r="36" spans="1:13" ht="27" customHeight="1">
      <c r="A36" s="9" t="s">
        <v>232</v>
      </c>
      <c r="B36" s="646" t="s">
        <v>233</v>
      </c>
      <c r="C36" s="373">
        <v>150</v>
      </c>
      <c r="D36" s="125">
        <f>'variazioni di bilancio'!E65</f>
        <v>72.16</v>
      </c>
      <c r="E36" s="90">
        <f>C36+D36</f>
        <v>222.16</v>
      </c>
      <c r="F36" s="125">
        <f>IMPEGNI!D75+'PARTITARIO SPESE'!J62</f>
        <v>222.1599999999999</v>
      </c>
      <c r="G36" s="98">
        <f>'PARTITARIO SPESE'!J62</f>
        <v>215.20999999999992</v>
      </c>
      <c r="H36" s="98">
        <f>F36-G36</f>
        <v>6.949999999999989</v>
      </c>
      <c r="I36" s="99">
        <f>E36-F36</f>
        <v>0</v>
      </c>
      <c r="J36" s="222">
        <f>IMPEGNI!D43+IMPEGNI!D46</f>
        <v>13.95</v>
      </c>
      <c r="K36" s="222">
        <v>13.95</v>
      </c>
      <c r="L36" s="384">
        <f t="shared" si="0"/>
        <v>0</v>
      </c>
      <c r="M36" s="373">
        <f>G36+K36</f>
        <v>229.1599999999999</v>
      </c>
    </row>
    <row r="37" spans="1:13" ht="15" customHeight="1">
      <c r="A37" s="9"/>
      <c r="B37" s="647" t="s">
        <v>139</v>
      </c>
      <c r="C37" s="631">
        <f>SUM(C35:C36)</f>
        <v>150</v>
      </c>
      <c r="D37" s="91">
        <f aca="true" t="shared" si="8" ref="D37:M37">SUM(D35:D36)</f>
        <v>72.16</v>
      </c>
      <c r="E37" s="91">
        <f t="shared" si="8"/>
        <v>222.16</v>
      </c>
      <c r="F37" s="91">
        <f t="shared" si="8"/>
        <v>222.1599999999999</v>
      </c>
      <c r="G37" s="91">
        <f t="shared" si="8"/>
        <v>215.20999999999992</v>
      </c>
      <c r="H37" s="91">
        <f t="shared" si="8"/>
        <v>6.949999999999989</v>
      </c>
      <c r="I37" s="91">
        <f t="shared" si="8"/>
        <v>0</v>
      </c>
      <c r="J37" s="387">
        <f t="shared" si="8"/>
        <v>13.95</v>
      </c>
      <c r="K37" s="387">
        <f t="shared" si="8"/>
        <v>13.95</v>
      </c>
      <c r="L37" s="387">
        <f t="shared" si="8"/>
        <v>0</v>
      </c>
      <c r="M37" s="91">
        <f t="shared" si="8"/>
        <v>229.1599999999999</v>
      </c>
    </row>
    <row r="38" spans="1:13" ht="15" customHeight="1">
      <c r="A38" s="13" t="s">
        <v>140</v>
      </c>
      <c r="B38" s="645" t="s">
        <v>81</v>
      </c>
      <c r="C38" s="374"/>
      <c r="D38" s="100"/>
      <c r="E38" s="97"/>
      <c r="F38" s="103"/>
      <c r="G38" s="105"/>
      <c r="H38" s="105"/>
      <c r="I38" s="106"/>
      <c r="J38" s="224"/>
      <c r="K38" s="224"/>
      <c r="L38" s="384">
        <f t="shared" si="0"/>
        <v>0</v>
      </c>
      <c r="M38" s="374"/>
    </row>
    <row r="39" spans="1:13" ht="13.5" customHeight="1">
      <c r="A39" s="20" t="s">
        <v>141</v>
      </c>
      <c r="B39" s="646" t="s">
        <v>142</v>
      </c>
      <c r="C39" s="375">
        <v>400</v>
      </c>
      <c r="D39" s="88">
        <f>'variazioni di bilancio'!E37+'variazioni di bilancio'!E66</f>
        <v>3412.26</v>
      </c>
      <c r="E39" s="90">
        <f>C39+D39</f>
        <v>3812.26</v>
      </c>
      <c r="F39" s="88">
        <f>IMPEGNI!D76+'PARTITARIO SPESE'!J81</f>
        <v>3812.1599999999994</v>
      </c>
      <c r="G39" s="89">
        <f>'PARTITARIO SPESE'!J81</f>
        <v>3786.9499999999994</v>
      </c>
      <c r="H39" s="89">
        <f>F39-G39</f>
        <v>25.210000000000036</v>
      </c>
      <c r="I39" s="99">
        <f>E39-F39</f>
        <v>0.10000000000081855</v>
      </c>
      <c r="J39" s="223">
        <f>IMPEGNI!D44+IMPEGNI!D47</f>
        <v>50.28</v>
      </c>
      <c r="K39" s="223">
        <v>50.28</v>
      </c>
      <c r="L39" s="384">
        <f t="shared" si="0"/>
        <v>0</v>
      </c>
      <c r="M39" s="375">
        <f>G39+K39</f>
        <v>3837.2299999999996</v>
      </c>
    </row>
    <row r="40" spans="1:13" ht="13.5" customHeight="1">
      <c r="A40" s="20" t="s">
        <v>221</v>
      </c>
      <c r="B40" s="646" t="s">
        <v>143</v>
      </c>
      <c r="C40" s="375">
        <v>0</v>
      </c>
      <c r="D40" s="88">
        <v>0</v>
      </c>
      <c r="E40" s="90">
        <f>C40+D40</f>
        <v>0</v>
      </c>
      <c r="F40" s="88">
        <v>0</v>
      </c>
      <c r="G40" s="88">
        <v>0</v>
      </c>
      <c r="H40" s="89">
        <f>F40-G40</f>
        <v>0</v>
      </c>
      <c r="I40" s="99">
        <f>E40-F40</f>
        <v>0</v>
      </c>
      <c r="J40" s="223">
        <v>0</v>
      </c>
      <c r="K40" s="223">
        <v>0</v>
      </c>
      <c r="L40" s="384">
        <f t="shared" si="0"/>
        <v>0</v>
      </c>
      <c r="M40" s="375">
        <f>G40+K40</f>
        <v>0</v>
      </c>
    </row>
    <row r="41" spans="1:13" ht="15" customHeight="1">
      <c r="A41" s="9"/>
      <c r="B41" s="647" t="s">
        <v>145</v>
      </c>
      <c r="C41" s="631">
        <f>SUM(C39:C40)</f>
        <v>400</v>
      </c>
      <c r="D41" s="91">
        <f aca="true" t="shared" si="9" ref="D41:M41">SUM(D39:D40)</f>
        <v>3412.26</v>
      </c>
      <c r="E41" s="91">
        <f t="shared" si="9"/>
        <v>3812.26</v>
      </c>
      <c r="F41" s="91">
        <f t="shared" si="9"/>
        <v>3812.1599999999994</v>
      </c>
      <c r="G41" s="91">
        <f t="shared" si="9"/>
        <v>3786.9499999999994</v>
      </c>
      <c r="H41" s="91">
        <f t="shared" si="9"/>
        <v>25.210000000000036</v>
      </c>
      <c r="I41" s="91">
        <f t="shared" si="9"/>
        <v>0.10000000000081855</v>
      </c>
      <c r="J41" s="387">
        <f t="shared" si="9"/>
        <v>50.28</v>
      </c>
      <c r="K41" s="387">
        <f t="shared" si="9"/>
        <v>50.28</v>
      </c>
      <c r="L41" s="387">
        <f t="shared" si="9"/>
        <v>0</v>
      </c>
      <c r="M41" s="91">
        <f t="shared" si="9"/>
        <v>3837.2299999999996</v>
      </c>
    </row>
    <row r="42" spans="1:13" ht="15" customHeight="1">
      <c r="A42" s="13" t="s">
        <v>144</v>
      </c>
      <c r="B42" s="645" t="s">
        <v>146</v>
      </c>
      <c r="C42" s="374"/>
      <c r="D42" s="100"/>
      <c r="E42" s="97"/>
      <c r="F42" s="103"/>
      <c r="G42" s="105"/>
      <c r="H42" s="105"/>
      <c r="I42" s="106"/>
      <c r="J42" s="224"/>
      <c r="K42" s="224"/>
      <c r="L42" s="384">
        <f t="shared" si="0"/>
        <v>0</v>
      </c>
      <c r="M42" s="374"/>
    </row>
    <row r="43" spans="1:13" ht="13.5" customHeight="1">
      <c r="A43" s="20" t="s">
        <v>147</v>
      </c>
      <c r="B43" s="646" t="s">
        <v>188</v>
      </c>
      <c r="C43" s="375">
        <v>0</v>
      </c>
      <c r="D43" s="88">
        <f>'variazioni di bilancio'!E25</f>
        <v>4000</v>
      </c>
      <c r="E43" s="90">
        <f>C43+D43</f>
        <v>4000</v>
      </c>
      <c r="F43" s="88">
        <v>4000</v>
      </c>
      <c r="G43" s="89">
        <v>4000</v>
      </c>
      <c r="H43" s="89">
        <f>F43-G43</f>
        <v>0</v>
      </c>
      <c r="I43" s="99">
        <f>E43-F43</f>
        <v>0</v>
      </c>
      <c r="J43" s="223">
        <v>0</v>
      </c>
      <c r="K43" s="223">
        <v>0</v>
      </c>
      <c r="L43" s="384">
        <f t="shared" si="0"/>
        <v>0</v>
      </c>
      <c r="M43" s="375">
        <f>G43+K43</f>
        <v>4000</v>
      </c>
    </row>
    <row r="44" spans="1:13" ht="15" customHeight="1">
      <c r="A44" s="9"/>
      <c r="B44" s="647" t="s">
        <v>148</v>
      </c>
      <c r="C44" s="631">
        <f>SUM(C43)</f>
        <v>0</v>
      </c>
      <c r="D44" s="91">
        <f aca="true" t="shared" si="10" ref="D44:M44">SUM(D43)</f>
        <v>4000</v>
      </c>
      <c r="E44" s="91">
        <f t="shared" si="10"/>
        <v>4000</v>
      </c>
      <c r="F44" s="91">
        <f t="shared" si="10"/>
        <v>4000</v>
      </c>
      <c r="G44" s="91">
        <f t="shared" si="10"/>
        <v>4000</v>
      </c>
      <c r="H44" s="91">
        <f t="shared" si="10"/>
        <v>0</v>
      </c>
      <c r="I44" s="91">
        <f t="shared" si="10"/>
        <v>0</v>
      </c>
      <c r="J44" s="387">
        <f t="shared" si="10"/>
        <v>0</v>
      </c>
      <c r="K44" s="387">
        <f t="shared" si="10"/>
        <v>0</v>
      </c>
      <c r="L44" s="387">
        <f t="shared" si="10"/>
        <v>0</v>
      </c>
      <c r="M44" s="91">
        <f t="shared" si="10"/>
        <v>4000</v>
      </c>
    </row>
    <row r="45" spans="1:13" ht="15" customHeight="1">
      <c r="A45" s="13" t="s">
        <v>149</v>
      </c>
      <c r="B45" s="645" t="s">
        <v>82</v>
      </c>
      <c r="C45" s="374"/>
      <c r="D45" s="100"/>
      <c r="E45" s="97"/>
      <c r="F45" s="103"/>
      <c r="G45" s="105"/>
      <c r="H45" s="105"/>
      <c r="I45" s="106"/>
      <c r="J45" s="224"/>
      <c r="K45" s="224"/>
      <c r="L45" s="384">
        <f t="shared" si="0"/>
        <v>0</v>
      </c>
      <c r="M45" s="374"/>
    </row>
    <row r="46" spans="1:13" ht="13.5" customHeight="1">
      <c r="A46" s="20" t="s">
        <v>152</v>
      </c>
      <c r="B46" s="646" t="s">
        <v>150</v>
      </c>
      <c r="C46" s="375">
        <v>0</v>
      </c>
      <c r="D46" s="88">
        <v>0</v>
      </c>
      <c r="E46" s="90">
        <v>0</v>
      </c>
      <c r="F46" s="88">
        <v>0</v>
      </c>
      <c r="G46" s="89">
        <v>0</v>
      </c>
      <c r="H46" s="89">
        <f>F46-G46</f>
        <v>0</v>
      </c>
      <c r="I46" s="99">
        <f>E46-F46</f>
        <v>0</v>
      </c>
      <c r="J46" s="223">
        <v>0</v>
      </c>
      <c r="K46" s="223">
        <v>0</v>
      </c>
      <c r="L46" s="384">
        <f t="shared" si="0"/>
        <v>0</v>
      </c>
      <c r="M46" s="375">
        <f>G46+K46</f>
        <v>0</v>
      </c>
    </row>
    <row r="47" spans="1:14" ht="30" customHeight="1">
      <c r="A47" s="20" t="s">
        <v>153</v>
      </c>
      <c r="B47" s="646" t="s">
        <v>151</v>
      </c>
      <c r="C47" s="375">
        <v>338</v>
      </c>
      <c r="D47" s="88">
        <f>'variazioni di bilancio'!E19+'variazioni di bilancio'!E55+'variazioni di bilancio'!E13+'variazioni di bilancio'!E26+'variazioni di bilancio'!E33+'variazioni di bilancio'!E35+'variazioni di bilancio'!E52+'variazioni di bilancio'!E47+'variazioni di bilancio'!E61</f>
        <v>58952.4</v>
      </c>
      <c r="E47" s="90">
        <f>C47+D47</f>
        <v>59290.4</v>
      </c>
      <c r="F47" s="88">
        <v>0</v>
      </c>
      <c r="G47" s="89">
        <v>0</v>
      </c>
      <c r="H47" s="89">
        <f>F47-G47</f>
        <v>0</v>
      </c>
      <c r="I47" s="90">
        <f>E47-F47</f>
        <v>59290.4</v>
      </c>
      <c r="J47" s="223">
        <v>0</v>
      </c>
      <c r="K47" s="223">
        <v>0</v>
      </c>
      <c r="L47" s="384">
        <f t="shared" si="0"/>
        <v>0</v>
      </c>
      <c r="M47" s="375">
        <f>G47+K47</f>
        <v>0</v>
      </c>
      <c r="N47" s="216"/>
    </row>
    <row r="48" spans="1:13" ht="15" customHeight="1">
      <c r="A48" s="66"/>
      <c r="B48" s="647" t="s">
        <v>154</v>
      </c>
      <c r="C48" s="631">
        <f>SUM(C46:C47)</f>
        <v>338</v>
      </c>
      <c r="D48" s="91">
        <f aca="true" t="shared" si="11" ref="D48:M48">SUM(D46:D47)</f>
        <v>58952.4</v>
      </c>
      <c r="E48" s="91">
        <f t="shared" si="11"/>
        <v>59290.4</v>
      </c>
      <c r="F48" s="91">
        <f t="shared" si="11"/>
        <v>0</v>
      </c>
      <c r="G48" s="91">
        <f t="shared" si="11"/>
        <v>0</v>
      </c>
      <c r="H48" s="91">
        <f t="shared" si="11"/>
        <v>0</v>
      </c>
      <c r="I48" s="91">
        <f t="shared" si="11"/>
        <v>59290.4</v>
      </c>
      <c r="J48" s="387">
        <f t="shared" si="11"/>
        <v>0</v>
      </c>
      <c r="K48" s="387">
        <f t="shared" si="11"/>
        <v>0</v>
      </c>
      <c r="L48" s="387">
        <f t="shared" si="11"/>
        <v>0</v>
      </c>
      <c r="M48" s="91">
        <f t="shared" si="11"/>
        <v>0</v>
      </c>
    </row>
    <row r="49" spans="1:13" ht="15" customHeight="1">
      <c r="A49" s="13" t="s">
        <v>203</v>
      </c>
      <c r="B49" s="645" t="s">
        <v>204</v>
      </c>
      <c r="C49" s="376"/>
      <c r="D49" s="235"/>
      <c r="E49" s="104"/>
      <c r="F49" s="149"/>
      <c r="G49" s="150"/>
      <c r="H49" s="150"/>
      <c r="I49" s="128"/>
      <c r="J49" s="226"/>
      <c r="K49" s="226"/>
      <c r="L49" s="384">
        <f t="shared" si="0"/>
        <v>0</v>
      </c>
      <c r="M49" s="376"/>
    </row>
    <row r="50" spans="1:13" ht="15" customHeight="1">
      <c r="A50" s="14" t="s">
        <v>205</v>
      </c>
      <c r="B50" s="646" t="s">
        <v>206</v>
      </c>
      <c r="C50" s="375">
        <v>0</v>
      </c>
      <c r="D50" s="88">
        <v>0</v>
      </c>
      <c r="E50" s="90">
        <f>C50+D50</f>
        <v>0</v>
      </c>
      <c r="F50" s="88">
        <v>0</v>
      </c>
      <c r="G50" s="89">
        <v>0</v>
      </c>
      <c r="H50" s="89">
        <f>F50-G50</f>
        <v>0</v>
      </c>
      <c r="I50" s="90">
        <f>E50-F50</f>
        <v>0</v>
      </c>
      <c r="J50" s="223">
        <v>0</v>
      </c>
      <c r="K50" s="223">
        <v>0</v>
      </c>
      <c r="L50" s="384">
        <f t="shared" si="0"/>
        <v>0</v>
      </c>
      <c r="M50" s="375">
        <f>SUM(G50+K50)</f>
        <v>0</v>
      </c>
    </row>
    <row r="51" spans="1:13" ht="13.5">
      <c r="A51" s="14" t="s">
        <v>207</v>
      </c>
      <c r="B51" s="646" t="s">
        <v>208</v>
      </c>
      <c r="C51" s="375">
        <v>0</v>
      </c>
      <c r="D51" s="236">
        <f>'variazioni di bilancio'!E11+'variazioni di bilancio'!E27+'variazioni di bilancio'!E29+'variazioni di bilancio'!E30</f>
        <v>40656.8</v>
      </c>
      <c r="E51" s="90">
        <f>C51+D51</f>
        <v>40656.8</v>
      </c>
      <c r="F51" s="88">
        <v>7730.84</v>
      </c>
      <c r="G51" s="125">
        <v>7730.84</v>
      </c>
      <c r="H51" s="98">
        <f>F51-G51</f>
        <v>0</v>
      </c>
      <c r="I51" s="90">
        <f>E51-F51</f>
        <v>32925.96000000001</v>
      </c>
      <c r="J51" s="222">
        <v>0</v>
      </c>
      <c r="K51" s="222">
        <v>0</v>
      </c>
      <c r="L51" s="384">
        <f t="shared" si="0"/>
        <v>0</v>
      </c>
      <c r="M51" s="373">
        <f>SUM(G51+K51)</f>
        <v>7730.84</v>
      </c>
    </row>
    <row r="52" spans="1:13" ht="15" customHeight="1">
      <c r="A52" s="66"/>
      <c r="B52" s="647" t="s">
        <v>209</v>
      </c>
      <c r="C52" s="635">
        <f>SUM(C50:C51)</f>
        <v>0</v>
      </c>
      <c r="D52" s="104">
        <f aca="true" t="shared" si="12" ref="D52:M52">SUM(D50:D51)</f>
        <v>40656.8</v>
      </c>
      <c r="E52" s="104">
        <f t="shared" si="12"/>
        <v>40656.8</v>
      </c>
      <c r="F52" s="104">
        <f t="shared" si="12"/>
        <v>7730.84</v>
      </c>
      <c r="G52" s="104">
        <f t="shared" si="12"/>
        <v>7730.84</v>
      </c>
      <c r="H52" s="104">
        <f t="shared" si="12"/>
        <v>0</v>
      </c>
      <c r="I52" s="104">
        <f t="shared" si="12"/>
        <v>32925.96000000001</v>
      </c>
      <c r="J52" s="389">
        <f t="shared" si="12"/>
        <v>0</v>
      </c>
      <c r="K52" s="389">
        <f t="shared" si="12"/>
        <v>0</v>
      </c>
      <c r="L52" s="389">
        <f t="shared" si="12"/>
        <v>0</v>
      </c>
      <c r="M52" s="104">
        <f t="shared" si="12"/>
        <v>7730.84</v>
      </c>
    </row>
    <row r="53" spans="1:14" ht="14.25" customHeight="1">
      <c r="A53" s="67"/>
      <c r="B53" s="648" t="s">
        <v>155</v>
      </c>
      <c r="C53" s="631">
        <f>C13+C19+C33+C37+C41+C44+C48+C52</f>
        <v>27000</v>
      </c>
      <c r="D53" s="91">
        <f aca="true" t="shared" si="13" ref="D53:M53">D13+D19+D33+D37+D41+D44+D48+D52</f>
        <v>116038.33</v>
      </c>
      <c r="E53" s="91">
        <f t="shared" si="13"/>
        <v>143038.33000000002</v>
      </c>
      <c r="F53" s="91">
        <f t="shared" si="13"/>
        <v>50544.47</v>
      </c>
      <c r="G53" s="91">
        <f>G13+G19+G33+G37+G41+G44+G48+G52</f>
        <v>43378.369999999995</v>
      </c>
      <c r="H53" s="91">
        <f>H13+H19+H33+H37+H41+H44+H48+H52</f>
        <v>7166.099999999999</v>
      </c>
      <c r="I53" s="91">
        <f>I13+I19+I33+I37+I41+I44+I48+I52</f>
        <v>92493.86000000002</v>
      </c>
      <c r="J53" s="387">
        <f t="shared" si="13"/>
        <v>6698.169999999999</v>
      </c>
      <c r="K53" s="387">
        <f t="shared" si="13"/>
        <v>6698.169999999999</v>
      </c>
      <c r="L53" s="387">
        <f t="shared" si="13"/>
        <v>0</v>
      </c>
      <c r="M53" s="91">
        <f t="shared" si="13"/>
        <v>50076.53999999999</v>
      </c>
      <c r="N53" s="216"/>
    </row>
    <row r="54" spans="1:13" ht="13.5">
      <c r="A54" s="16" t="s">
        <v>61</v>
      </c>
      <c r="B54" s="649" t="s">
        <v>84</v>
      </c>
      <c r="C54" s="374"/>
      <c r="D54" s="103"/>
      <c r="E54" s="106"/>
      <c r="F54" s="103"/>
      <c r="G54" s="105"/>
      <c r="H54" s="105"/>
      <c r="I54" s="106"/>
      <c r="J54" s="224"/>
      <c r="K54" s="224"/>
      <c r="L54" s="384">
        <f t="shared" si="0"/>
        <v>0</v>
      </c>
      <c r="M54" s="374"/>
    </row>
    <row r="55" spans="1:13" ht="13.5">
      <c r="A55" s="16" t="s">
        <v>75</v>
      </c>
      <c r="B55" s="642" t="s">
        <v>160</v>
      </c>
      <c r="C55" s="374"/>
      <c r="D55" s="103"/>
      <c r="E55" s="106"/>
      <c r="F55" s="103"/>
      <c r="G55" s="105"/>
      <c r="H55" s="105"/>
      <c r="I55" s="106"/>
      <c r="J55" s="224"/>
      <c r="K55" s="224"/>
      <c r="L55" s="384">
        <f t="shared" si="0"/>
        <v>0</v>
      </c>
      <c r="M55" s="374"/>
    </row>
    <row r="56" spans="1:13" ht="13.5">
      <c r="A56" s="20" t="s">
        <v>76</v>
      </c>
      <c r="B56" s="643" t="s">
        <v>163</v>
      </c>
      <c r="C56" s="375">
        <v>0</v>
      </c>
      <c r="D56" s="88">
        <v>0</v>
      </c>
      <c r="E56" s="90">
        <f>C56+D56</f>
        <v>0</v>
      </c>
      <c r="F56" s="88">
        <v>0</v>
      </c>
      <c r="G56" s="89">
        <v>0</v>
      </c>
      <c r="H56" s="89">
        <f>F56-G56</f>
        <v>0</v>
      </c>
      <c r="I56" s="90">
        <f>E56-F56</f>
        <v>0</v>
      </c>
      <c r="J56" s="223">
        <v>0</v>
      </c>
      <c r="K56" s="223">
        <v>0</v>
      </c>
      <c r="L56" s="384">
        <f t="shared" si="0"/>
        <v>0</v>
      </c>
      <c r="M56" s="375">
        <f>G56+K56</f>
        <v>0</v>
      </c>
    </row>
    <row r="57" spans="1:13" ht="13.5">
      <c r="A57" s="20" t="s">
        <v>77</v>
      </c>
      <c r="B57" s="643" t="s">
        <v>164</v>
      </c>
      <c r="C57" s="375">
        <v>0</v>
      </c>
      <c r="D57" s="88">
        <v>0</v>
      </c>
      <c r="E57" s="90">
        <f>C57+D57</f>
        <v>0</v>
      </c>
      <c r="F57" s="88">
        <v>0</v>
      </c>
      <c r="G57" s="89">
        <v>0</v>
      </c>
      <c r="H57" s="89">
        <f>F57-G57</f>
        <v>0</v>
      </c>
      <c r="I57" s="90">
        <f>E57-F57</f>
        <v>0</v>
      </c>
      <c r="J57" s="223">
        <v>0</v>
      </c>
      <c r="K57" s="223">
        <v>0</v>
      </c>
      <c r="L57" s="384">
        <f t="shared" si="0"/>
        <v>0</v>
      </c>
      <c r="M57" s="375">
        <f>G57+K57</f>
        <v>0</v>
      </c>
    </row>
    <row r="58" spans="1:13" ht="13.5">
      <c r="A58" s="20" t="s">
        <v>161</v>
      </c>
      <c r="B58" s="643" t="s">
        <v>165</v>
      </c>
      <c r="C58" s="375">
        <v>0</v>
      </c>
      <c r="D58" s="88">
        <v>0</v>
      </c>
      <c r="E58" s="90">
        <f>C58+D58</f>
        <v>0</v>
      </c>
      <c r="F58" s="88">
        <v>0</v>
      </c>
      <c r="G58" s="89">
        <v>0</v>
      </c>
      <c r="H58" s="89">
        <f>F58-G58</f>
        <v>0</v>
      </c>
      <c r="I58" s="90">
        <f>E58-F58</f>
        <v>0</v>
      </c>
      <c r="J58" s="223">
        <v>0</v>
      </c>
      <c r="K58" s="223">
        <v>0</v>
      </c>
      <c r="L58" s="384">
        <f t="shared" si="0"/>
        <v>0</v>
      </c>
      <c r="M58" s="375">
        <f>G58+K58</f>
        <v>0</v>
      </c>
    </row>
    <row r="59" spans="1:13" ht="13.5">
      <c r="A59" s="20" t="s">
        <v>162</v>
      </c>
      <c r="B59" s="643" t="s">
        <v>166</v>
      </c>
      <c r="C59" s="375">
        <v>0</v>
      </c>
      <c r="D59" s="88">
        <v>0</v>
      </c>
      <c r="E59" s="90">
        <f>C59+D59</f>
        <v>0</v>
      </c>
      <c r="F59" s="88">
        <v>0</v>
      </c>
      <c r="G59" s="89">
        <v>0</v>
      </c>
      <c r="H59" s="89">
        <f>F59-G59</f>
        <v>0</v>
      </c>
      <c r="I59" s="90">
        <f>E59-F59</f>
        <v>0</v>
      </c>
      <c r="J59" s="223">
        <v>0</v>
      </c>
      <c r="K59" s="223">
        <v>0</v>
      </c>
      <c r="L59" s="384">
        <f t="shared" si="0"/>
        <v>0</v>
      </c>
      <c r="M59" s="375">
        <f>G59+K59</f>
        <v>0</v>
      </c>
    </row>
    <row r="60" spans="1:13" s="4" customFormat="1" ht="13.5">
      <c r="A60" s="66"/>
      <c r="B60" s="644" t="s">
        <v>167</v>
      </c>
      <c r="C60" s="631">
        <f>SUM(C56:C59)</f>
        <v>0</v>
      </c>
      <c r="D60" s="91">
        <f aca="true" t="shared" si="14" ref="D60:M60">SUM(D56:D59)</f>
        <v>0</v>
      </c>
      <c r="E60" s="91">
        <f t="shared" si="14"/>
        <v>0</v>
      </c>
      <c r="F60" s="91">
        <f t="shared" si="14"/>
        <v>0</v>
      </c>
      <c r="G60" s="91">
        <f t="shared" si="14"/>
        <v>0</v>
      </c>
      <c r="H60" s="91">
        <f t="shared" si="14"/>
        <v>0</v>
      </c>
      <c r="I60" s="91">
        <f t="shared" si="14"/>
        <v>0</v>
      </c>
      <c r="J60" s="387">
        <f t="shared" si="14"/>
        <v>0</v>
      </c>
      <c r="K60" s="387">
        <f t="shared" si="14"/>
        <v>0</v>
      </c>
      <c r="L60" s="387">
        <f t="shared" si="14"/>
        <v>0</v>
      </c>
      <c r="M60" s="91">
        <f t="shared" si="14"/>
        <v>0</v>
      </c>
    </row>
    <row r="61" spans="1:13" s="4" customFormat="1" ht="13.5">
      <c r="A61" s="16" t="s">
        <v>241</v>
      </c>
      <c r="B61" s="642" t="s">
        <v>242</v>
      </c>
      <c r="C61" s="375">
        <v>0</v>
      </c>
      <c r="D61" s="86"/>
      <c r="E61" s="90"/>
      <c r="F61" s="86"/>
      <c r="G61" s="87"/>
      <c r="H61" s="87"/>
      <c r="I61" s="151"/>
      <c r="J61" s="227"/>
      <c r="K61" s="227"/>
      <c r="L61" s="384">
        <f t="shared" si="0"/>
        <v>0</v>
      </c>
      <c r="M61" s="377"/>
    </row>
    <row r="62" spans="1:13" s="4" customFormat="1" ht="13.5">
      <c r="A62" s="9" t="s">
        <v>243</v>
      </c>
      <c r="B62" s="643" t="s">
        <v>244</v>
      </c>
      <c r="C62" s="375">
        <v>0</v>
      </c>
      <c r="D62" s="88">
        <v>0</v>
      </c>
      <c r="E62" s="90">
        <f>C62+D62</f>
        <v>0</v>
      </c>
      <c r="F62" s="88">
        <v>0</v>
      </c>
      <c r="G62" s="89">
        <v>0</v>
      </c>
      <c r="H62" s="89">
        <f>F59-G59</f>
        <v>0</v>
      </c>
      <c r="I62" s="90">
        <f>E62-F62</f>
        <v>0</v>
      </c>
      <c r="J62" s="223">
        <v>0</v>
      </c>
      <c r="K62" s="223">
        <v>0</v>
      </c>
      <c r="L62" s="384">
        <f t="shared" si="0"/>
        <v>0</v>
      </c>
      <c r="M62" s="375">
        <f>G62+K62</f>
        <v>0</v>
      </c>
    </row>
    <row r="63" spans="1:13" s="4" customFormat="1" ht="13.5">
      <c r="A63" s="9" t="s">
        <v>245</v>
      </c>
      <c r="B63" s="643" t="s">
        <v>246</v>
      </c>
      <c r="C63" s="375">
        <v>0</v>
      </c>
      <c r="D63" s="88">
        <v>0</v>
      </c>
      <c r="E63" s="90">
        <f>C63+D63</f>
        <v>0</v>
      </c>
      <c r="F63" s="88">
        <v>0</v>
      </c>
      <c r="G63" s="89">
        <v>0</v>
      </c>
      <c r="H63" s="89">
        <f>F60-G60</f>
        <v>0</v>
      </c>
      <c r="I63" s="90">
        <f>E63-F63</f>
        <v>0</v>
      </c>
      <c r="J63" s="223">
        <v>0</v>
      </c>
      <c r="K63" s="223">
        <v>0</v>
      </c>
      <c r="L63" s="384">
        <f t="shared" si="0"/>
        <v>0</v>
      </c>
      <c r="M63" s="375">
        <f>G63+K63</f>
        <v>0</v>
      </c>
    </row>
    <row r="64" spans="1:13" s="4" customFormat="1" ht="13.5">
      <c r="A64" s="9" t="s">
        <v>247</v>
      </c>
      <c r="B64" s="643" t="s">
        <v>248</v>
      </c>
      <c r="C64" s="375">
        <v>0</v>
      </c>
      <c r="D64" s="88">
        <v>0</v>
      </c>
      <c r="E64" s="90">
        <v>0</v>
      </c>
      <c r="F64" s="88">
        <v>0</v>
      </c>
      <c r="G64" s="89">
        <v>0</v>
      </c>
      <c r="H64" s="89">
        <f>F61-G61</f>
        <v>0</v>
      </c>
      <c r="I64" s="90">
        <f>E64-F64</f>
        <v>0</v>
      </c>
      <c r="J64" s="223">
        <v>0</v>
      </c>
      <c r="K64" s="223">
        <v>0</v>
      </c>
      <c r="L64" s="384">
        <f t="shared" si="0"/>
        <v>0</v>
      </c>
      <c r="M64" s="375">
        <f>G64+K64</f>
        <v>0</v>
      </c>
    </row>
    <row r="65" spans="1:13" s="4" customFormat="1" ht="13.5">
      <c r="A65" s="9" t="s">
        <v>249</v>
      </c>
      <c r="B65" s="643" t="s">
        <v>250</v>
      </c>
      <c r="C65" s="375">
        <v>0</v>
      </c>
      <c r="D65" s="237">
        <f>'variazioni di bilancio'!E5+'variazioni di bilancio'!E8+'variazioni di bilancio'!E12+'variazioni di bilancio'!E16+'variazioni di bilancio'!E22+'variazioni di bilancio'!E41+'variazioni di bilancio'!E44</f>
        <v>1144970.22</v>
      </c>
      <c r="E65" s="90">
        <f>C65+D65</f>
        <v>1144970.22</v>
      </c>
      <c r="F65" s="88">
        <f>IMPEGNI!E59+IMPEGNI!E60+IMPEGNI!E61+IMPEGNI!D66+IMPEGNI!D67+IMPEGNI!D68+IMPEGNI!E69+IMPEGNI!E70+IMPEGNI!E71+IMPEGNI!E72+IMPEGNI!E73+IMPEGNI!E74+'PARTITARIO SPESE'!J181</f>
        <v>1140674.3399999999</v>
      </c>
      <c r="G65" s="88">
        <f>'PARTITARIO SPESE'!J181</f>
        <v>536337.3424999999</v>
      </c>
      <c r="H65" s="89">
        <f>F65-G65</f>
        <v>604336.9974999999</v>
      </c>
      <c r="I65" s="90">
        <f>E65-F65</f>
        <v>4295.880000000121</v>
      </c>
      <c r="J65" s="223">
        <f>IMPEGNI!E9+IMPEGNI!D48+IMPEGNI!D49+IMPEGNI!D50+IMPEGNI!D51+IMPEGNI!D52+IMPEGNI!D53</f>
        <v>494114.08</v>
      </c>
      <c r="K65" s="223">
        <f>'PARTITARIO SPESE'!J101</f>
        <v>94933.6</v>
      </c>
      <c r="L65" s="384">
        <f t="shared" si="0"/>
        <v>399180.48</v>
      </c>
      <c r="M65" s="375">
        <f>G65+K65</f>
        <v>631270.9424999999</v>
      </c>
    </row>
    <row r="66" spans="1:13" s="4" customFormat="1" ht="13.5">
      <c r="A66" s="9" t="s">
        <v>251</v>
      </c>
      <c r="B66" s="643" t="s">
        <v>252</v>
      </c>
      <c r="C66" s="375">
        <v>0</v>
      </c>
      <c r="D66" s="44">
        <v>0</v>
      </c>
      <c r="E66" s="90">
        <f>C66+D66</f>
        <v>0</v>
      </c>
      <c r="F66" s="45">
        <v>0</v>
      </c>
      <c r="G66" s="152">
        <v>0</v>
      </c>
      <c r="H66" s="89">
        <f>F63-G63</f>
        <v>0</v>
      </c>
      <c r="I66" s="90">
        <f>E66-F66</f>
        <v>0</v>
      </c>
      <c r="J66" s="223">
        <v>0</v>
      </c>
      <c r="K66" s="223">
        <v>0</v>
      </c>
      <c r="L66" s="384">
        <f t="shared" si="0"/>
        <v>0</v>
      </c>
      <c r="M66" s="375">
        <f>G66+K66</f>
        <v>0</v>
      </c>
    </row>
    <row r="67" spans="1:13" s="4" customFormat="1" ht="13.5">
      <c r="A67" s="66"/>
      <c r="B67" s="644" t="s">
        <v>253</v>
      </c>
      <c r="C67" s="631">
        <f>SUM(C61:C66)</f>
        <v>0</v>
      </c>
      <c r="D67" s="91">
        <f aca="true" t="shared" si="15" ref="D67:M67">SUM(D61:D66)</f>
        <v>1144970.22</v>
      </c>
      <c r="E67" s="91">
        <f t="shared" si="15"/>
        <v>1144970.22</v>
      </c>
      <c r="F67" s="91">
        <f t="shared" si="15"/>
        <v>1140674.3399999999</v>
      </c>
      <c r="G67" s="91">
        <f t="shared" si="15"/>
        <v>536337.3424999999</v>
      </c>
      <c r="H67" s="91">
        <f t="shared" si="15"/>
        <v>604336.9974999999</v>
      </c>
      <c r="I67" s="91">
        <f t="shared" si="15"/>
        <v>4295.880000000121</v>
      </c>
      <c r="J67" s="387">
        <f t="shared" si="15"/>
        <v>494114.08</v>
      </c>
      <c r="K67" s="387">
        <f t="shared" si="15"/>
        <v>94933.6</v>
      </c>
      <c r="L67" s="387">
        <f t="shared" si="15"/>
        <v>399180.48</v>
      </c>
      <c r="M67" s="91">
        <f t="shared" si="15"/>
        <v>631270.9424999999</v>
      </c>
    </row>
    <row r="68" spans="1:13" s="4" customFormat="1" ht="13.5">
      <c r="A68" s="66"/>
      <c r="B68" s="648" t="s">
        <v>168</v>
      </c>
      <c r="C68" s="631">
        <f>SUM(C60+C67)</f>
        <v>0</v>
      </c>
      <c r="D68" s="91">
        <f aca="true" t="shared" si="16" ref="D68:M68">SUM(D60+D67)</f>
        <v>1144970.22</v>
      </c>
      <c r="E68" s="91">
        <f t="shared" si="16"/>
        <v>1144970.22</v>
      </c>
      <c r="F68" s="91">
        <f t="shared" si="16"/>
        <v>1140674.3399999999</v>
      </c>
      <c r="G68" s="91">
        <f t="shared" si="16"/>
        <v>536337.3424999999</v>
      </c>
      <c r="H68" s="91">
        <f t="shared" si="16"/>
        <v>604336.9974999999</v>
      </c>
      <c r="I68" s="91">
        <f t="shared" si="16"/>
        <v>4295.880000000121</v>
      </c>
      <c r="J68" s="387">
        <f t="shared" si="16"/>
        <v>494114.08</v>
      </c>
      <c r="K68" s="387">
        <f t="shared" si="16"/>
        <v>94933.6</v>
      </c>
      <c r="L68" s="387">
        <f t="shared" si="16"/>
        <v>399180.48</v>
      </c>
      <c r="M68" s="91">
        <f t="shared" si="16"/>
        <v>631270.9424999999</v>
      </c>
    </row>
    <row r="69" spans="1:13" s="4" customFormat="1" ht="13.5">
      <c r="A69" s="16" t="s">
        <v>62</v>
      </c>
      <c r="B69" s="649" t="s">
        <v>198</v>
      </c>
      <c r="C69" s="374"/>
      <c r="D69" s="103"/>
      <c r="E69" s="106"/>
      <c r="F69" s="103"/>
      <c r="G69" s="105"/>
      <c r="H69" s="105"/>
      <c r="I69" s="106"/>
      <c r="J69" s="224"/>
      <c r="K69" s="224"/>
      <c r="L69" s="384">
        <f t="shared" si="0"/>
        <v>0</v>
      </c>
      <c r="M69" s="374"/>
    </row>
    <row r="70" spans="1:13" ht="13.5">
      <c r="A70" s="16" t="s">
        <v>196</v>
      </c>
      <c r="B70" s="642" t="s">
        <v>199</v>
      </c>
      <c r="C70" s="374"/>
      <c r="D70" s="103"/>
      <c r="E70" s="106"/>
      <c r="F70" s="103"/>
      <c r="G70" s="105"/>
      <c r="H70" s="105"/>
      <c r="I70" s="106"/>
      <c r="J70" s="224"/>
      <c r="K70" s="224"/>
      <c r="L70" s="384">
        <f t="shared" si="0"/>
        <v>0</v>
      </c>
      <c r="M70" s="374"/>
    </row>
    <row r="71" spans="1:13" ht="13.5">
      <c r="A71" s="20" t="s">
        <v>195</v>
      </c>
      <c r="B71" s="643" t="s">
        <v>200</v>
      </c>
      <c r="C71" s="375">
        <v>0</v>
      </c>
      <c r="D71" s="88">
        <v>0</v>
      </c>
      <c r="E71" s="90">
        <f>C71+D71</f>
        <v>0</v>
      </c>
      <c r="F71" s="88">
        <v>0</v>
      </c>
      <c r="G71" s="89">
        <v>0</v>
      </c>
      <c r="H71" s="89">
        <f>F71-G71</f>
        <v>0</v>
      </c>
      <c r="I71" s="90">
        <f>E71-F71</f>
        <v>0</v>
      </c>
      <c r="J71" s="223">
        <v>0</v>
      </c>
      <c r="K71" s="223">
        <v>0</v>
      </c>
      <c r="L71" s="384">
        <f t="shared" si="0"/>
        <v>0</v>
      </c>
      <c r="M71" s="375">
        <f>G71+K71</f>
        <v>0</v>
      </c>
    </row>
    <row r="72" spans="1:13" ht="13.5">
      <c r="A72" s="66"/>
      <c r="B72" s="644" t="s">
        <v>197</v>
      </c>
      <c r="C72" s="631">
        <f>SUM(C71)</f>
        <v>0</v>
      </c>
      <c r="D72" s="91">
        <f aca="true" t="shared" si="17" ref="D72:M72">SUM(D71)</f>
        <v>0</v>
      </c>
      <c r="E72" s="91">
        <f t="shared" si="17"/>
        <v>0</v>
      </c>
      <c r="F72" s="91">
        <f t="shared" si="17"/>
        <v>0</v>
      </c>
      <c r="G72" s="91">
        <f t="shared" si="17"/>
        <v>0</v>
      </c>
      <c r="H72" s="91">
        <f t="shared" si="17"/>
        <v>0</v>
      </c>
      <c r="I72" s="91">
        <f t="shared" si="17"/>
        <v>0</v>
      </c>
      <c r="J72" s="387">
        <f t="shared" si="17"/>
        <v>0</v>
      </c>
      <c r="K72" s="387">
        <f t="shared" si="17"/>
        <v>0</v>
      </c>
      <c r="L72" s="387">
        <f t="shared" si="17"/>
        <v>0</v>
      </c>
      <c r="M72" s="91">
        <f t="shared" si="17"/>
        <v>0</v>
      </c>
    </row>
    <row r="73" spans="1:13" s="37" customFormat="1" ht="13.5">
      <c r="A73" s="36" t="s">
        <v>193</v>
      </c>
      <c r="B73" s="650" t="s">
        <v>43</v>
      </c>
      <c r="C73" s="371"/>
      <c r="D73" s="92"/>
      <c r="E73" s="108"/>
      <c r="F73" s="92"/>
      <c r="G73" s="107"/>
      <c r="H73" s="107"/>
      <c r="I73" s="108"/>
      <c r="J73" s="220"/>
      <c r="K73" s="220"/>
      <c r="L73" s="384">
        <f t="shared" si="0"/>
        <v>0</v>
      </c>
      <c r="M73" s="371"/>
    </row>
    <row r="74" spans="1:13" s="4" customFormat="1" ht="13.5">
      <c r="A74" s="16" t="s">
        <v>194</v>
      </c>
      <c r="B74" s="642" t="s">
        <v>169</v>
      </c>
      <c r="C74" s="378"/>
      <c r="D74" s="103"/>
      <c r="E74" s="110" t="s">
        <v>88</v>
      </c>
      <c r="F74" s="109"/>
      <c r="G74" s="129"/>
      <c r="H74" s="129"/>
      <c r="I74" s="110"/>
      <c r="J74" s="228"/>
      <c r="K74" s="228"/>
      <c r="L74" s="384">
        <f t="shared" si="0"/>
        <v>0</v>
      </c>
      <c r="M74" s="378"/>
    </row>
    <row r="75" spans="1:13" ht="13.5">
      <c r="A75" s="20" t="s">
        <v>78</v>
      </c>
      <c r="B75" s="643" t="s">
        <v>1</v>
      </c>
      <c r="C75" s="375">
        <v>0</v>
      </c>
      <c r="D75" s="88">
        <v>0</v>
      </c>
      <c r="E75" s="90">
        <f>SUM(C75:D75)</f>
        <v>0</v>
      </c>
      <c r="F75" s="88">
        <v>0</v>
      </c>
      <c r="G75" s="89">
        <v>0</v>
      </c>
      <c r="H75" s="89">
        <f>F75-G75</f>
        <v>0</v>
      </c>
      <c r="I75" s="90">
        <f>E75-F75</f>
        <v>0</v>
      </c>
      <c r="J75" s="223">
        <v>0</v>
      </c>
      <c r="K75" s="223">
        <v>0</v>
      </c>
      <c r="L75" s="384">
        <f t="shared" si="0"/>
        <v>0</v>
      </c>
      <c r="M75" s="375">
        <f>G75+K75</f>
        <v>0</v>
      </c>
    </row>
    <row r="76" spans="1:13" ht="13.5">
      <c r="A76" s="20" t="s">
        <v>79</v>
      </c>
      <c r="B76" s="643" t="s">
        <v>0</v>
      </c>
      <c r="C76" s="636">
        <v>0</v>
      </c>
      <c r="D76" s="125">
        <f>'variazioni di bilancio'!E59</f>
        <v>4184.92</v>
      </c>
      <c r="E76" s="90">
        <f>SUM(C76:D76)</f>
        <v>4184.92</v>
      </c>
      <c r="F76" s="88">
        <f>IMPEGNI!D65+'PARTITARIO SPESE'!J190</f>
        <v>4184.92</v>
      </c>
      <c r="G76" s="88">
        <f>'PARTITARIO SPESE'!J190</f>
        <v>2974.92</v>
      </c>
      <c r="H76" s="98">
        <f>F76-G76</f>
        <v>1210</v>
      </c>
      <c r="I76" s="90">
        <f>E76-F76</f>
        <v>0</v>
      </c>
      <c r="J76" s="223">
        <f>IMPEGNI!E22+IMPEGNI!E54+IMPEGNI!D42</f>
        <v>1162.36</v>
      </c>
      <c r="K76" s="223">
        <v>1110</v>
      </c>
      <c r="L76" s="384">
        <f>J76-K76</f>
        <v>52.3599999999999</v>
      </c>
      <c r="M76" s="373">
        <f>G76+K76</f>
        <v>4084.92</v>
      </c>
    </row>
    <row r="77" spans="1:13" ht="14.25" customHeight="1">
      <c r="A77" s="20" t="s">
        <v>170</v>
      </c>
      <c r="B77" s="643" t="s">
        <v>44</v>
      </c>
      <c r="C77" s="636">
        <v>0</v>
      </c>
      <c r="D77" s="88">
        <v>0</v>
      </c>
      <c r="E77" s="99">
        <f>SUM(C77:D77)</f>
        <v>0</v>
      </c>
      <c r="F77" s="88">
        <v>0</v>
      </c>
      <c r="G77" s="89">
        <v>0</v>
      </c>
      <c r="H77" s="89">
        <f>F77-G77</f>
        <v>0</v>
      </c>
      <c r="I77" s="90">
        <f>E77-F77</f>
        <v>0</v>
      </c>
      <c r="J77" s="223">
        <f>IMPEGNI!E6+IMPEGNI!E10</f>
        <v>0.5</v>
      </c>
      <c r="K77" s="223">
        <v>0</v>
      </c>
      <c r="L77" s="384">
        <f>J77-K77</f>
        <v>0.5</v>
      </c>
      <c r="M77" s="375">
        <f>G77+K77</f>
        <v>0</v>
      </c>
    </row>
    <row r="78" spans="1:13" ht="13.5">
      <c r="A78" s="20" t="s">
        <v>173</v>
      </c>
      <c r="B78" s="643" t="s">
        <v>171</v>
      </c>
      <c r="C78" s="375">
        <v>0</v>
      </c>
      <c r="D78" s="46">
        <v>0</v>
      </c>
      <c r="E78" s="73">
        <f>SUM(C78:D78)</f>
        <v>0</v>
      </c>
      <c r="F78" s="46">
        <v>0</v>
      </c>
      <c r="G78" s="111">
        <v>0</v>
      </c>
      <c r="H78" s="89">
        <f>F78-G78</f>
        <v>0</v>
      </c>
      <c r="I78" s="90">
        <f>E78-F78</f>
        <v>0</v>
      </c>
      <c r="J78" s="223">
        <f>IMPEGNI!D45</f>
        <v>61.39</v>
      </c>
      <c r="K78" s="223">
        <v>61.39</v>
      </c>
      <c r="L78" s="384">
        <f>J78-K78</f>
        <v>0</v>
      </c>
      <c r="M78" s="375">
        <f>G78+K78</f>
        <v>61.39</v>
      </c>
    </row>
    <row r="79" spans="1:13" ht="13.5">
      <c r="A79" s="20" t="s">
        <v>174</v>
      </c>
      <c r="B79" s="643" t="s">
        <v>172</v>
      </c>
      <c r="C79" s="375">
        <v>0</v>
      </c>
      <c r="D79" s="88">
        <v>0</v>
      </c>
      <c r="E79" s="90">
        <f>SUM(C79:D79)</f>
        <v>0</v>
      </c>
      <c r="F79" s="88">
        <v>0</v>
      </c>
      <c r="G79" s="89">
        <v>0</v>
      </c>
      <c r="H79" s="89">
        <f>F79-G79</f>
        <v>0</v>
      </c>
      <c r="I79" s="90">
        <f>E79-F79</f>
        <v>0</v>
      </c>
      <c r="J79" s="223">
        <v>0</v>
      </c>
      <c r="K79" s="223">
        <v>0</v>
      </c>
      <c r="L79" s="384">
        <f>J79-K79</f>
        <v>0</v>
      </c>
      <c r="M79" s="375">
        <f>G79+K79</f>
        <v>0</v>
      </c>
    </row>
    <row r="80" spans="1:15" ht="12.75" customHeight="1">
      <c r="A80" s="66"/>
      <c r="B80" s="647" t="s">
        <v>175</v>
      </c>
      <c r="C80" s="631">
        <f>SUM(C75:C79)</f>
        <v>0</v>
      </c>
      <c r="D80" s="91">
        <f aca="true" t="shared" si="18" ref="D80:L80">SUM(D75:D79)</f>
        <v>4184.92</v>
      </c>
      <c r="E80" s="91">
        <f t="shared" si="18"/>
        <v>4184.92</v>
      </c>
      <c r="F80" s="91">
        <f t="shared" si="18"/>
        <v>4184.92</v>
      </c>
      <c r="G80" s="91">
        <f t="shared" si="18"/>
        <v>2974.92</v>
      </c>
      <c r="H80" s="91">
        <f t="shared" si="18"/>
        <v>1210</v>
      </c>
      <c r="I80" s="91">
        <f t="shared" si="18"/>
        <v>0</v>
      </c>
      <c r="J80" s="387">
        <f t="shared" si="18"/>
        <v>1224.25</v>
      </c>
      <c r="K80" s="387">
        <f t="shared" si="18"/>
        <v>1171.39</v>
      </c>
      <c r="L80" s="387">
        <f t="shared" si="18"/>
        <v>52.8599999999999</v>
      </c>
      <c r="M80" s="91">
        <f>SUM(M75:M79)</f>
        <v>4146.31</v>
      </c>
      <c r="O80" s="216"/>
    </row>
    <row r="81" spans="1:13" s="5" customFormat="1" ht="13.5">
      <c r="A81" s="66"/>
      <c r="B81" s="651" t="s">
        <v>120</v>
      </c>
      <c r="C81" s="631">
        <f>SUM(C80)</f>
        <v>0</v>
      </c>
      <c r="D81" s="91">
        <f aca="true" t="shared" si="19" ref="D81:L81">SUM(D80)</f>
        <v>4184.92</v>
      </c>
      <c r="E81" s="91">
        <f t="shared" si="19"/>
        <v>4184.92</v>
      </c>
      <c r="F81" s="91">
        <f t="shared" si="19"/>
        <v>4184.92</v>
      </c>
      <c r="G81" s="91">
        <f t="shared" si="19"/>
        <v>2974.92</v>
      </c>
      <c r="H81" s="91">
        <f t="shared" si="19"/>
        <v>1210</v>
      </c>
      <c r="I81" s="91">
        <f t="shared" si="19"/>
        <v>0</v>
      </c>
      <c r="J81" s="387">
        <f t="shared" si="19"/>
        <v>1224.25</v>
      </c>
      <c r="K81" s="387">
        <f t="shared" si="19"/>
        <v>1171.39</v>
      </c>
      <c r="L81" s="387">
        <f t="shared" si="19"/>
        <v>52.8599999999999</v>
      </c>
      <c r="M81" s="91">
        <f>SUM(M80)</f>
        <v>4146.31</v>
      </c>
    </row>
    <row r="82" spans="1:13" s="392" customFormat="1" ht="17.25" thickBot="1">
      <c r="A82" s="66"/>
      <c r="B82" s="652" t="s">
        <v>85</v>
      </c>
      <c r="C82" s="637">
        <f>C13+C19+C33+C37+C41+C44+C48+C52+C60+C67+C72+C80</f>
        <v>27000</v>
      </c>
      <c r="D82" s="390">
        <f aca="true" t="shared" si="20" ref="D82:M82">D13+D19+D33+D37+D41+D44+D48+D52+D60+D67+D72+D80</f>
        <v>1265193.47</v>
      </c>
      <c r="E82" s="390">
        <f>E13+E19+E33+E37+E41+E44+E48+E52+E60+E67+E72+E80</f>
        <v>1292193.47</v>
      </c>
      <c r="F82" s="390">
        <f t="shared" si="20"/>
        <v>1195403.7299999997</v>
      </c>
      <c r="G82" s="390">
        <f t="shared" si="20"/>
        <v>582690.6325</v>
      </c>
      <c r="H82" s="390">
        <f t="shared" si="20"/>
        <v>612713.0974999999</v>
      </c>
      <c r="I82" s="390">
        <f t="shared" si="20"/>
        <v>96789.74000000014</v>
      </c>
      <c r="J82" s="391">
        <f t="shared" si="20"/>
        <v>502036.5</v>
      </c>
      <c r="K82" s="391">
        <f t="shared" si="20"/>
        <v>102803.16</v>
      </c>
      <c r="L82" s="391">
        <f t="shared" si="20"/>
        <v>399233.33999999997</v>
      </c>
      <c r="M82" s="390">
        <f t="shared" si="20"/>
        <v>685493.7925</v>
      </c>
    </row>
    <row r="83" spans="1:15" ht="13.5">
      <c r="A83" s="2"/>
      <c r="C83" s="1"/>
      <c r="D83" s="1"/>
      <c r="E83" s="1"/>
      <c r="F83" s="35"/>
      <c r="G83" s="112"/>
      <c r="L83" s="169">
        <f>H82+L82</f>
        <v>1011946.4374999999</v>
      </c>
      <c r="M83" s="444"/>
      <c r="O83" s="216"/>
    </row>
    <row r="84" spans="1:13" s="4" customFormat="1" ht="13.5">
      <c r="A84" s="113"/>
      <c r="D84" s="169" t="s">
        <v>818</v>
      </c>
      <c r="E84" s="169">
        <f>E82-Entrate!E58</f>
        <v>0</v>
      </c>
      <c r="F84" s="48"/>
      <c r="G84" s="48"/>
      <c r="H84" s="4" t="s">
        <v>818</v>
      </c>
      <c r="I84" s="169">
        <f>I82-'Dimostrazione avanzo'!C32</f>
        <v>0.0012500000011641532</v>
      </c>
      <c r="J84" s="169"/>
      <c r="L84" s="253"/>
      <c r="M84" s="253"/>
    </row>
    <row r="85" spans="1:13" s="4" customFormat="1" ht="13.5">
      <c r="A85" s="113"/>
      <c r="C85" s="48"/>
      <c r="D85" s="48"/>
      <c r="E85" s="48"/>
      <c r="F85" s="48"/>
      <c r="I85" s="169"/>
      <c r="L85" s="169"/>
      <c r="M85" s="253"/>
    </row>
    <row r="86" spans="1:13" s="4" customFormat="1" ht="13.5">
      <c r="A86" s="113"/>
      <c r="C86" s="48"/>
      <c r="D86" s="48"/>
      <c r="E86" s="48"/>
      <c r="F86" s="48"/>
      <c r="G86" s="114"/>
      <c r="M86" s="169"/>
    </row>
    <row r="87" spans="3:12" s="4" customFormat="1" ht="13.5">
      <c r="C87" s="48"/>
      <c r="D87" s="48"/>
      <c r="E87" s="48"/>
      <c r="F87" s="48"/>
      <c r="G87" s="48"/>
      <c r="I87" s="253">
        <f>Entrate!I53-'Spese '!I76</f>
        <v>0</v>
      </c>
      <c r="L87" s="169"/>
    </row>
    <row r="88" spans="3:13" s="4" customFormat="1" ht="13.5">
      <c r="C88" s="48"/>
      <c r="D88" s="48"/>
      <c r="E88" s="48"/>
      <c r="F88" s="48"/>
      <c r="I88" s="169"/>
      <c r="M88" s="48"/>
    </row>
    <row r="89" spans="9:13" s="4" customFormat="1" ht="13.5">
      <c r="I89" s="445"/>
      <c r="J89" s="169"/>
      <c r="M89" s="48"/>
    </row>
    <row r="90" spans="3:13" s="4" customFormat="1" ht="13.5">
      <c r="C90" s="48"/>
      <c r="D90" s="48"/>
      <c r="E90" s="48"/>
      <c r="F90" s="48"/>
      <c r="M90" s="48"/>
    </row>
    <row r="91" spans="3:6" s="4" customFormat="1" ht="13.5">
      <c r="C91" s="48"/>
      <c r="D91" s="48"/>
      <c r="E91" s="48"/>
      <c r="F91" s="48"/>
    </row>
    <row r="92" spans="3:8" s="4" customFormat="1" ht="13.5">
      <c r="C92" s="48"/>
      <c r="D92" s="48"/>
      <c r="E92" s="48"/>
      <c r="F92" s="48"/>
      <c r="H92" s="169"/>
    </row>
    <row r="93" spans="3:8" s="4" customFormat="1" ht="13.5">
      <c r="C93" s="48"/>
      <c r="D93" s="48"/>
      <c r="E93" s="48"/>
      <c r="F93" s="48"/>
      <c r="H93" s="169"/>
    </row>
    <row r="94" spans="3:8" s="4" customFormat="1" ht="13.5">
      <c r="C94" s="48"/>
      <c r="D94" s="48"/>
      <c r="E94" s="48"/>
      <c r="F94" s="48"/>
      <c r="H94" s="169"/>
    </row>
    <row r="95" spans="3:6" s="4" customFormat="1" ht="13.5">
      <c r="C95" s="48"/>
      <c r="D95" s="48"/>
      <c r="E95" s="48"/>
      <c r="F95" s="48"/>
    </row>
    <row r="96" spans="3:6" s="4" customFormat="1" ht="13.5">
      <c r="C96" s="48"/>
      <c r="D96" s="48"/>
      <c r="E96" s="48"/>
      <c r="F96" s="48"/>
    </row>
    <row r="97" spans="3:6" s="4" customFormat="1" ht="13.5">
      <c r="C97" s="48"/>
      <c r="D97" s="48"/>
      <c r="E97" s="48"/>
      <c r="F97" s="48"/>
    </row>
    <row r="98" spans="3:6" s="4" customFormat="1" ht="13.5">
      <c r="C98" s="48"/>
      <c r="D98" s="48"/>
      <c r="E98" s="48"/>
      <c r="F98" s="48"/>
    </row>
    <row r="99" spans="3:6" s="4" customFormat="1" ht="13.5">
      <c r="C99" s="48"/>
      <c r="D99" s="48"/>
      <c r="E99" s="48"/>
      <c r="F99" s="48"/>
    </row>
    <row r="100" spans="3:6" s="4" customFormat="1" ht="13.5">
      <c r="C100" s="48"/>
      <c r="D100" s="48"/>
      <c r="E100" s="48"/>
      <c r="F100" s="48"/>
    </row>
    <row r="101" spans="3:6" s="4" customFormat="1" ht="13.5">
      <c r="C101" s="48"/>
      <c r="D101" s="48"/>
      <c r="E101" s="48"/>
      <c r="F101" s="48"/>
    </row>
    <row r="102" spans="3:6" s="4" customFormat="1" ht="13.5">
      <c r="C102" s="48"/>
      <c r="D102" s="48"/>
      <c r="E102" s="48"/>
      <c r="F102" s="48"/>
    </row>
    <row r="103" spans="3:6" s="4" customFormat="1" ht="13.5">
      <c r="C103" s="48"/>
      <c r="D103" s="48"/>
      <c r="E103" s="48"/>
      <c r="F103" s="48"/>
    </row>
    <row r="104" spans="3:6" s="4" customFormat="1" ht="13.5">
      <c r="C104" s="48"/>
      <c r="D104" s="48"/>
      <c r="E104" s="48"/>
      <c r="F104" s="48"/>
    </row>
    <row r="105" spans="3:6" s="4" customFormat="1" ht="13.5">
      <c r="C105" s="48"/>
      <c r="D105" s="48"/>
      <c r="E105" s="48"/>
      <c r="F105" s="48"/>
    </row>
    <row r="106" spans="3:6" s="4" customFormat="1" ht="13.5">
      <c r="C106" s="48"/>
      <c r="D106" s="48"/>
      <c r="E106" s="48"/>
      <c r="F106" s="48"/>
    </row>
    <row r="107" spans="3:6" s="4" customFormat="1" ht="13.5">
      <c r="C107" s="48"/>
      <c r="D107" s="48"/>
      <c r="E107" s="48"/>
      <c r="F107" s="48"/>
    </row>
    <row r="108" spans="3:6" s="4" customFormat="1" ht="13.5">
      <c r="C108" s="48"/>
      <c r="D108" s="48"/>
      <c r="E108" s="48"/>
      <c r="F108" s="48"/>
    </row>
    <row r="109" spans="3:6" s="4" customFormat="1" ht="13.5">
      <c r="C109" s="48"/>
      <c r="D109" s="48"/>
      <c r="E109" s="48"/>
      <c r="F109" s="48"/>
    </row>
    <row r="110" spans="3:6" s="4" customFormat="1" ht="13.5">
      <c r="C110" s="48"/>
      <c r="D110" s="48"/>
      <c r="E110" s="48"/>
      <c r="F110" s="48"/>
    </row>
    <row r="111" spans="3:6" s="4" customFormat="1" ht="13.5">
      <c r="C111" s="48"/>
      <c r="D111" s="48"/>
      <c r="E111" s="48"/>
      <c r="F111" s="48"/>
    </row>
    <row r="112" spans="3:6" s="4" customFormat="1" ht="13.5">
      <c r="C112" s="48"/>
      <c r="D112" s="48"/>
      <c r="E112" s="48"/>
      <c r="F112" s="48"/>
    </row>
    <row r="113" spans="3:6" s="4" customFormat="1" ht="13.5">
      <c r="C113" s="48"/>
      <c r="D113" s="48"/>
      <c r="E113" s="48"/>
      <c r="F113" s="48"/>
    </row>
    <row r="114" spans="3:6" s="4" customFormat="1" ht="13.5">
      <c r="C114" s="48"/>
      <c r="D114" s="48"/>
      <c r="E114" s="48"/>
      <c r="F114" s="48"/>
    </row>
    <row r="115" spans="3:6" s="4" customFormat="1" ht="13.5">
      <c r="C115" s="48"/>
      <c r="D115" s="48"/>
      <c r="E115" s="48"/>
      <c r="F115" s="48"/>
    </row>
    <row r="116" spans="3:6" s="4" customFormat="1" ht="13.5">
      <c r="C116" s="48"/>
      <c r="D116" s="48"/>
      <c r="E116" s="48"/>
      <c r="F116" s="48"/>
    </row>
    <row r="117" spans="3:6" s="4" customFormat="1" ht="13.5">
      <c r="C117" s="48"/>
      <c r="D117" s="48"/>
      <c r="E117" s="48"/>
      <c r="F117" s="48"/>
    </row>
    <row r="118" spans="3:6" s="4" customFormat="1" ht="13.5">
      <c r="C118" s="48"/>
      <c r="D118" s="48"/>
      <c r="E118" s="48"/>
      <c r="F118" s="48"/>
    </row>
    <row r="119" spans="3:6" s="4" customFormat="1" ht="13.5">
      <c r="C119" s="48"/>
      <c r="D119" s="48"/>
      <c r="E119" s="48"/>
      <c r="F119" s="48"/>
    </row>
    <row r="120" spans="3:6" s="4" customFormat="1" ht="13.5">
      <c r="C120" s="48"/>
      <c r="D120" s="48"/>
      <c r="E120" s="48"/>
      <c r="F120" s="48"/>
    </row>
    <row r="121" spans="3:6" s="4" customFormat="1" ht="13.5">
      <c r="C121" s="48"/>
      <c r="D121" s="48"/>
      <c r="E121" s="48"/>
      <c r="F121" s="48"/>
    </row>
    <row r="122" spans="3:6" s="4" customFormat="1" ht="13.5">
      <c r="C122" s="48"/>
      <c r="D122" s="48"/>
      <c r="E122" s="48"/>
      <c r="F122" s="48"/>
    </row>
    <row r="123" spans="3:6" s="4" customFormat="1" ht="13.5">
      <c r="C123" s="48"/>
      <c r="D123" s="48"/>
      <c r="E123" s="48"/>
      <c r="F123" s="48"/>
    </row>
    <row r="124" spans="3:6" s="4" customFormat="1" ht="13.5">
      <c r="C124" s="48"/>
      <c r="D124" s="48"/>
      <c r="E124" s="48"/>
      <c r="F124" s="48"/>
    </row>
    <row r="125" spans="3:6" s="4" customFormat="1" ht="13.5">
      <c r="C125" s="48"/>
      <c r="D125" s="48"/>
      <c r="E125" s="48"/>
      <c r="F125" s="48"/>
    </row>
    <row r="126" spans="3:6" s="4" customFormat="1" ht="13.5">
      <c r="C126" s="48"/>
      <c r="D126" s="48"/>
      <c r="E126" s="48"/>
      <c r="F126" s="48"/>
    </row>
    <row r="127" spans="3:6" s="4" customFormat="1" ht="13.5">
      <c r="C127" s="48"/>
      <c r="D127" s="48"/>
      <c r="E127" s="48"/>
      <c r="F127" s="48"/>
    </row>
    <row r="128" spans="3:6" s="4" customFormat="1" ht="13.5">
      <c r="C128" s="48"/>
      <c r="D128" s="48"/>
      <c r="E128" s="48"/>
      <c r="F128" s="48"/>
    </row>
    <row r="129" spans="3:6" s="4" customFormat="1" ht="13.5">
      <c r="C129" s="48"/>
      <c r="D129" s="48"/>
      <c r="E129" s="48"/>
      <c r="F129" s="48"/>
    </row>
    <row r="130" spans="3:6" s="4" customFormat="1" ht="13.5">
      <c r="C130" s="48"/>
      <c r="D130" s="48"/>
      <c r="E130" s="48"/>
      <c r="F130" s="48"/>
    </row>
    <row r="131" spans="3:6" s="4" customFormat="1" ht="13.5">
      <c r="C131" s="48"/>
      <c r="D131" s="48"/>
      <c r="E131" s="48"/>
      <c r="F131" s="48"/>
    </row>
    <row r="132" spans="3:6" s="4" customFormat="1" ht="13.5">
      <c r="C132" s="48"/>
      <c r="D132" s="48"/>
      <c r="E132" s="48"/>
      <c r="F132" s="48"/>
    </row>
    <row r="133" spans="3:6" s="4" customFormat="1" ht="13.5">
      <c r="C133" s="48"/>
      <c r="D133" s="48"/>
      <c r="E133" s="48"/>
      <c r="F133" s="48"/>
    </row>
    <row r="134" spans="3:6" s="4" customFormat="1" ht="13.5">
      <c r="C134" s="48"/>
      <c r="D134" s="48"/>
      <c r="E134" s="48"/>
      <c r="F134" s="48"/>
    </row>
    <row r="135" spans="3:6" s="4" customFormat="1" ht="13.5">
      <c r="C135" s="48"/>
      <c r="D135" s="48"/>
      <c r="E135" s="48"/>
      <c r="F135" s="48"/>
    </row>
    <row r="136" spans="3:6" s="4" customFormat="1" ht="13.5">
      <c r="C136" s="48"/>
      <c r="D136" s="48"/>
      <c r="E136" s="48"/>
      <c r="F136" s="48"/>
    </row>
    <row r="137" spans="3:6" s="4" customFormat="1" ht="13.5">
      <c r="C137" s="48"/>
      <c r="D137" s="48"/>
      <c r="E137" s="48"/>
      <c r="F137" s="48"/>
    </row>
    <row r="138" spans="3:6" s="4" customFormat="1" ht="13.5">
      <c r="C138" s="48"/>
      <c r="D138" s="48"/>
      <c r="E138" s="48"/>
      <c r="F138" s="48"/>
    </row>
    <row r="139" spans="3:6" s="4" customFormat="1" ht="13.5">
      <c r="C139" s="48"/>
      <c r="D139" s="48"/>
      <c r="E139" s="48"/>
      <c r="F139" s="48"/>
    </row>
    <row r="140" spans="3:6" s="4" customFormat="1" ht="13.5">
      <c r="C140" s="48"/>
      <c r="D140" s="48"/>
      <c r="E140" s="48"/>
      <c r="F140" s="48"/>
    </row>
    <row r="141" spans="3:6" s="4" customFormat="1" ht="13.5">
      <c r="C141" s="48"/>
      <c r="D141" s="48"/>
      <c r="E141" s="48"/>
      <c r="F141" s="48"/>
    </row>
    <row r="142" spans="3:6" s="4" customFormat="1" ht="13.5">
      <c r="C142" s="48"/>
      <c r="D142" s="48"/>
      <c r="E142" s="48"/>
      <c r="F142" s="48"/>
    </row>
    <row r="143" spans="3:6" s="4" customFormat="1" ht="13.5">
      <c r="C143" s="48"/>
      <c r="D143" s="48"/>
      <c r="E143" s="48"/>
      <c r="F143" s="48"/>
    </row>
    <row r="144" spans="3:6" s="4" customFormat="1" ht="13.5">
      <c r="C144" s="48"/>
      <c r="D144" s="48"/>
      <c r="E144" s="48"/>
      <c r="F144" s="48"/>
    </row>
    <row r="145" spans="3:6" s="4" customFormat="1" ht="13.5">
      <c r="C145" s="48"/>
      <c r="D145" s="48"/>
      <c r="E145" s="48"/>
      <c r="F145" s="48"/>
    </row>
    <row r="146" spans="3:6" s="4" customFormat="1" ht="13.5">
      <c r="C146" s="48"/>
      <c r="D146" s="48"/>
      <c r="E146" s="48"/>
      <c r="F146" s="48"/>
    </row>
    <row r="147" spans="3:6" s="4" customFormat="1" ht="13.5">
      <c r="C147" s="48"/>
      <c r="D147" s="48"/>
      <c r="E147" s="48"/>
      <c r="F147" s="48"/>
    </row>
    <row r="148" spans="3:6" s="4" customFormat="1" ht="13.5">
      <c r="C148" s="48"/>
      <c r="D148" s="48"/>
      <c r="E148" s="48"/>
      <c r="F148" s="48"/>
    </row>
    <row r="149" spans="3:6" s="4" customFormat="1" ht="13.5">
      <c r="C149" s="48"/>
      <c r="D149" s="48"/>
      <c r="E149" s="48"/>
      <c r="F149" s="48"/>
    </row>
    <row r="150" spans="3:6" s="4" customFormat="1" ht="13.5">
      <c r="C150" s="48"/>
      <c r="D150" s="48"/>
      <c r="E150" s="48"/>
      <c r="F150" s="48"/>
    </row>
    <row r="151" spans="3:6" s="4" customFormat="1" ht="13.5">
      <c r="C151" s="48"/>
      <c r="D151" s="48"/>
      <c r="E151" s="48"/>
      <c r="F151" s="48"/>
    </row>
    <row r="152" spans="3:6" s="4" customFormat="1" ht="13.5">
      <c r="C152" s="48"/>
      <c r="D152" s="48"/>
      <c r="E152" s="48"/>
      <c r="F152" s="48"/>
    </row>
    <row r="153" spans="3:6" s="4" customFormat="1" ht="13.5">
      <c r="C153" s="48"/>
      <c r="D153" s="48"/>
      <c r="E153" s="48"/>
      <c r="F153" s="48"/>
    </row>
    <row r="154" spans="3:6" s="4" customFormat="1" ht="13.5">
      <c r="C154" s="48"/>
      <c r="D154" s="48"/>
      <c r="E154" s="48"/>
      <c r="F154" s="48"/>
    </row>
    <row r="155" spans="3:6" s="4" customFormat="1" ht="13.5">
      <c r="C155" s="48"/>
      <c r="D155" s="48"/>
      <c r="E155" s="48"/>
      <c r="F155" s="48"/>
    </row>
    <row r="156" spans="3:6" s="4" customFormat="1" ht="13.5">
      <c r="C156" s="48"/>
      <c r="D156" s="48"/>
      <c r="E156" s="48"/>
      <c r="F156" s="48"/>
    </row>
    <row r="157" spans="3:6" s="4" customFormat="1" ht="13.5">
      <c r="C157" s="48"/>
      <c r="D157" s="48"/>
      <c r="E157" s="48"/>
      <c r="F157" s="48"/>
    </row>
    <row r="158" spans="3:6" s="4" customFormat="1" ht="13.5">
      <c r="C158" s="48"/>
      <c r="D158" s="48"/>
      <c r="E158" s="48"/>
      <c r="F158" s="48"/>
    </row>
    <row r="159" spans="3:6" s="4" customFormat="1" ht="13.5">
      <c r="C159" s="48"/>
      <c r="D159" s="48"/>
      <c r="E159" s="48"/>
      <c r="F159" s="48"/>
    </row>
    <row r="160" spans="3:6" s="4" customFormat="1" ht="13.5">
      <c r="C160" s="48"/>
      <c r="D160" s="48"/>
      <c r="E160" s="48"/>
      <c r="F160" s="48"/>
    </row>
    <row r="161" spans="3:6" s="4" customFormat="1" ht="13.5">
      <c r="C161" s="48"/>
      <c r="D161" s="48"/>
      <c r="E161" s="48"/>
      <c r="F161" s="48"/>
    </row>
    <row r="162" spans="3:6" s="4" customFormat="1" ht="13.5">
      <c r="C162" s="48"/>
      <c r="D162" s="48"/>
      <c r="E162" s="48"/>
      <c r="F162" s="48"/>
    </row>
    <row r="163" spans="3:6" s="4" customFormat="1" ht="13.5">
      <c r="C163" s="48"/>
      <c r="D163" s="48"/>
      <c r="E163" s="48"/>
      <c r="F163" s="48"/>
    </row>
    <row r="164" spans="3:6" s="4" customFormat="1" ht="13.5">
      <c r="C164" s="48"/>
      <c r="D164" s="48"/>
      <c r="E164" s="48"/>
      <c r="F164" s="48"/>
    </row>
    <row r="165" spans="3:6" s="4" customFormat="1" ht="13.5">
      <c r="C165" s="48"/>
      <c r="D165" s="48"/>
      <c r="E165" s="48"/>
      <c r="F165" s="48"/>
    </row>
    <row r="166" spans="3:6" s="4" customFormat="1" ht="13.5">
      <c r="C166" s="48"/>
      <c r="D166" s="48"/>
      <c r="E166" s="48"/>
      <c r="F166" s="48"/>
    </row>
    <row r="167" spans="3:6" s="4" customFormat="1" ht="13.5">
      <c r="C167" s="48"/>
      <c r="D167" s="48"/>
      <c r="E167" s="48"/>
      <c r="F167" s="48"/>
    </row>
    <row r="168" spans="3:6" s="4" customFormat="1" ht="13.5">
      <c r="C168" s="48"/>
      <c r="D168" s="48"/>
      <c r="E168" s="48"/>
      <c r="F168" s="48"/>
    </row>
    <row r="169" spans="3:6" s="4" customFormat="1" ht="13.5">
      <c r="C169" s="48"/>
      <c r="D169" s="48"/>
      <c r="E169" s="48"/>
      <c r="F169" s="48"/>
    </row>
    <row r="170" spans="3:6" s="4" customFormat="1" ht="13.5">
      <c r="C170" s="48"/>
      <c r="D170" s="48"/>
      <c r="E170" s="48"/>
      <c r="F170" s="48"/>
    </row>
    <row r="171" spans="3:6" s="4" customFormat="1" ht="13.5">
      <c r="C171" s="48"/>
      <c r="D171" s="48"/>
      <c r="E171" s="48"/>
      <c r="F171" s="48"/>
    </row>
    <row r="172" spans="3:6" s="4" customFormat="1" ht="13.5">
      <c r="C172" s="48"/>
      <c r="D172" s="48"/>
      <c r="E172" s="48"/>
      <c r="F172" s="48"/>
    </row>
    <row r="173" spans="3:6" s="4" customFormat="1" ht="13.5">
      <c r="C173" s="48"/>
      <c r="D173" s="48"/>
      <c r="E173" s="48"/>
      <c r="F173" s="48"/>
    </row>
    <row r="174" spans="3:6" s="4" customFormat="1" ht="13.5">
      <c r="C174" s="48"/>
      <c r="D174" s="48"/>
      <c r="E174" s="48"/>
      <c r="F174" s="48"/>
    </row>
    <row r="175" spans="3:6" s="4" customFormat="1" ht="13.5">
      <c r="C175" s="48"/>
      <c r="D175" s="48"/>
      <c r="E175" s="48"/>
      <c r="F175" s="48"/>
    </row>
    <row r="176" spans="3:6" s="4" customFormat="1" ht="13.5">
      <c r="C176" s="48"/>
      <c r="D176" s="48"/>
      <c r="E176" s="48"/>
      <c r="F176" s="48"/>
    </row>
    <row r="177" spans="3:6" s="4" customFormat="1" ht="13.5">
      <c r="C177" s="48"/>
      <c r="D177" s="48"/>
      <c r="E177" s="48"/>
      <c r="F177" s="48"/>
    </row>
    <row r="178" spans="3:6" s="4" customFormat="1" ht="13.5">
      <c r="C178" s="48"/>
      <c r="D178" s="48"/>
      <c r="E178" s="48"/>
      <c r="F178" s="48"/>
    </row>
    <row r="179" spans="3:6" s="4" customFormat="1" ht="13.5">
      <c r="C179" s="48"/>
      <c r="D179" s="48"/>
      <c r="E179" s="48"/>
      <c r="F179" s="48"/>
    </row>
    <row r="180" spans="3:6" s="4" customFormat="1" ht="13.5">
      <c r="C180" s="48"/>
      <c r="D180" s="48"/>
      <c r="E180" s="48"/>
      <c r="F180" s="48"/>
    </row>
    <row r="181" spans="3:6" s="4" customFormat="1" ht="13.5">
      <c r="C181" s="48"/>
      <c r="D181" s="48"/>
      <c r="E181" s="48"/>
      <c r="F181" s="48"/>
    </row>
    <row r="182" spans="3:6" s="4" customFormat="1" ht="13.5">
      <c r="C182" s="48"/>
      <c r="D182" s="48"/>
      <c r="E182" s="48"/>
      <c r="F182" s="48"/>
    </row>
    <row r="183" spans="3:6" s="4" customFormat="1" ht="13.5">
      <c r="C183" s="48"/>
      <c r="D183" s="48"/>
      <c r="E183" s="48"/>
      <c r="F183" s="48"/>
    </row>
    <row r="184" spans="3:6" s="4" customFormat="1" ht="13.5">
      <c r="C184" s="48"/>
      <c r="D184" s="48"/>
      <c r="E184" s="48"/>
      <c r="F184" s="48"/>
    </row>
    <row r="185" spans="3:6" s="4" customFormat="1" ht="13.5">
      <c r="C185" s="48"/>
      <c r="D185" s="48"/>
      <c r="E185" s="48"/>
      <c r="F185" s="48"/>
    </row>
    <row r="186" spans="3:6" s="4" customFormat="1" ht="13.5">
      <c r="C186" s="48"/>
      <c r="D186" s="48"/>
      <c r="E186" s="48"/>
      <c r="F186" s="48"/>
    </row>
    <row r="187" spans="3:6" s="4" customFormat="1" ht="13.5">
      <c r="C187" s="48"/>
      <c r="D187" s="48"/>
      <c r="E187" s="48"/>
      <c r="F187" s="48"/>
    </row>
    <row r="188" spans="3:6" s="4" customFormat="1" ht="13.5">
      <c r="C188" s="48"/>
      <c r="D188" s="48"/>
      <c r="E188" s="48"/>
      <c r="F188" s="48"/>
    </row>
    <row r="189" spans="3:6" s="4" customFormat="1" ht="13.5">
      <c r="C189" s="48"/>
      <c r="D189" s="48"/>
      <c r="E189" s="48"/>
      <c r="F189" s="48"/>
    </row>
    <row r="190" spans="3:6" s="4" customFormat="1" ht="13.5">
      <c r="C190" s="48"/>
      <c r="D190" s="48"/>
      <c r="E190" s="48"/>
      <c r="F190" s="48"/>
    </row>
    <row r="191" spans="3:6" s="4" customFormat="1" ht="13.5">
      <c r="C191" s="48"/>
      <c r="D191" s="48"/>
      <c r="E191" s="48"/>
      <c r="F191" s="48"/>
    </row>
    <row r="192" spans="3:6" s="4" customFormat="1" ht="13.5">
      <c r="C192" s="48"/>
      <c r="D192" s="48"/>
      <c r="E192" s="48"/>
      <c r="F192" s="48"/>
    </row>
    <row r="193" spans="3:6" s="4" customFormat="1" ht="13.5">
      <c r="C193" s="48"/>
      <c r="D193" s="48"/>
      <c r="E193" s="48"/>
      <c r="F193" s="48"/>
    </row>
    <row r="194" spans="3:6" s="4" customFormat="1" ht="13.5">
      <c r="C194" s="48"/>
      <c r="D194" s="48"/>
      <c r="E194" s="48"/>
      <c r="F194" s="48"/>
    </row>
    <row r="195" spans="3:6" s="4" customFormat="1" ht="13.5">
      <c r="C195" s="48"/>
      <c r="D195" s="48"/>
      <c r="E195" s="48"/>
      <c r="F195" s="48"/>
    </row>
    <row r="196" spans="3:6" s="4" customFormat="1" ht="13.5">
      <c r="C196" s="48"/>
      <c r="D196" s="48"/>
      <c r="E196" s="48"/>
      <c r="F196" s="48"/>
    </row>
    <row r="197" spans="3:6" s="4" customFormat="1" ht="13.5">
      <c r="C197" s="48"/>
      <c r="D197" s="48"/>
      <c r="E197" s="48"/>
      <c r="F197" s="48"/>
    </row>
    <row r="198" spans="3:6" s="4" customFormat="1" ht="13.5">
      <c r="C198" s="48"/>
      <c r="D198" s="48"/>
      <c r="E198" s="48"/>
      <c r="F198" s="48"/>
    </row>
    <row r="199" spans="3:6" s="4" customFormat="1" ht="13.5">
      <c r="C199" s="48"/>
      <c r="D199" s="48"/>
      <c r="E199" s="48"/>
      <c r="F199" s="48"/>
    </row>
    <row r="200" spans="3:6" s="4" customFormat="1" ht="13.5">
      <c r="C200" s="48"/>
      <c r="D200" s="48"/>
      <c r="E200" s="48"/>
      <c r="F200" s="48"/>
    </row>
    <row r="201" spans="3:6" s="4" customFormat="1" ht="13.5">
      <c r="C201" s="48"/>
      <c r="D201" s="48"/>
      <c r="E201" s="48"/>
      <c r="F201" s="48"/>
    </row>
    <row r="202" spans="3:6" s="4" customFormat="1" ht="13.5">
      <c r="C202" s="48"/>
      <c r="D202" s="48"/>
      <c r="E202" s="48"/>
      <c r="F202" s="48"/>
    </row>
    <row r="203" spans="3:6" s="4" customFormat="1" ht="13.5">
      <c r="C203" s="48"/>
      <c r="D203" s="48"/>
      <c r="E203" s="48"/>
      <c r="F203" s="48"/>
    </row>
    <row r="204" spans="3:6" s="4" customFormat="1" ht="13.5">
      <c r="C204" s="48"/>
      <c r="D204" s="48"/>
      <c r="E204" s="48"/>
      <c r="F204" s="48"/>
    </row>
    <row r="205" spans="3:6" s="4" customFormat="1" ht="13.5">
      <c r="C205" s="48"/>
      <c r="D205" s="48"/>
      <c r="E205" s="48"/>
      <c r="F205" s="48"/>
    </row>
    <row r="206" spans="3:6" s="4" customFormat="1" ht="13.5">
      <c r="C206" s="48"/>
      <c r="D206" s="48"/>
      <c r="E206" s="48"/>
      <c r="F206" s="48"/>
    </row>
    <row r="207" spans="3:6" s="4" customFormat="1" ht="13.5">
      <c r="C207" s="48"/>
      <c r="D207" s="48"/>
      <c r="E207" s="48"/>
      <c r="F207" s="48"/>
    </row>
    <row r="208" spans="3:6" s="4" customFormat="1" ht="13.5">
      <c r="C208" s="48"/>
      <c r="D208" s="48"/>
      <c r="E208" s="48"/>
      <c r="F208" s="48"/>
    </row>
    <row r="209" spans="3:6" s="4" customFormat="1" ht="13.5">
      <c r="C209" s="48"/>
      <c r="D209" s="48"/>
      <c r="E209" s="48"/>
      <c r="F209" s="48"/>
    </row>
    <row r="210" spans="3:6" s="4" customFormat="1" ht="13.5">
      <c r="C210" s="48"/>
      <c r="D210" s="48"/>
      <c r="E210" s="48"/>
      <c r="F210" s="48"/>
    </row>
    <row r="211" spans="3:6" s="4" customFormat="1" ht="13.5">
      <c r="C211" s="48"/>
      <c r="D211" s="48"/>
      <c r="E211" s="48"/>
      <c r="F211" s="48"/>
    </row>
    <row r="212" spans="3:6" s="4" customFormat="1" ht="13.5">
      <c r="C212" s="48"/>
      <c r="D212" s="48"/>
      <c r="E212" s="48"/>
      <c r="F212" s="48"/>
    </row>
    <row r="213" spans="3:6" s="4" customFormat="1" ht="13.5">
      <c r="C213" s="48"/>
      <c r="D213" s="48"/>
      <c r="E213" s="48"/>
      <c r="F213" s="48"/>
    </row>
    <row r="214" spans="3:6" s="4" customFormat="1" ht="13.5">
      <c r="C214" s="48"/>
      <c r="D214" s="48"/>
      <c r="E214" s="48"/>
      <c r="F214" s="48"/>
    </row>
    <row r="215" spans="3:6" s="4" customFormat="1" ht="13.5">
      <c r="C215" s="48"/>
      <c r="D215" s="48"/>
      <c r="E215" s="48"/>
      <c r="F215" s="48"/>
    </row>
    <row r="216" spans="3:6" s="4" customFormat="1" ht="13.5">
      <c r="C216" s="48"/>
      <c r="D216" s="48"/>
      <c r="E216" s="48"/>
      <c r="F216" s="48"/>
    </row>
    <row r="217" spans="3:6" s="4" customFormat="1" ht="13.5">
      <c r="C217" s="48"/>
      <c r="D217" s="48"/>
      <c r="E217" s="48"/>
      <c r="F217" s="48"/>
    </row>
    <row r="218" spans="3:6" s="4" customFormat="1" ht="13.5">
      <c r="C218" s="48"/>
      <c r="D218" s="48"/>
      <c r="E218" s="48"/>
      <c r="F218" s="48"/>
    </row>
    <row r="219" spans="3:6" s="4" customFormat="1" ht="13.5">
      <c r="C219" s="48"/>
      <c r="D219" s="48"/>
      <c r="E219" s="48"/>
      <c r="F219" s="48"/>
    </row>
    <row r="220" spans="3:6" s="4" customFormat="1" ht="13.5">
      <c r="C220" s="48"/>
      <c r="D220" s="48"/>
      <c r="E220" s="48"/>
      <c r="F220" s="48"/>
    </row>
    <row r="221" spans="3:6" s="4" customFormat="1" ht="13.5">
      <c r="C221" s="48"/>
      <c r="D221" s="48"/>
      <c r="E221" s="48"/>
      <c r="F221" s="48"/>
    </row>
    <row r="222" spans="3:6" s="4" customFormat="1" ht="13.5">
      <c r="C222" s="48"/>
      <c r="D222" s="48"/>
      <c r="E222" s="48"/>
      <c r="F222" s="48"/>
    </row>
    <row r="223" spans="3:6" s="4" customFormat="1" ht="13.5">
      <c r="C223" s="48"/>
      <c r="D223" s="48"/>
      <c r="E223" s="48"/>
      <c r="F223" s="48"/>
    </row>
    <row r="224" spans="3:6" s="4" customFormat="1" ht="13.5">
      <c r="C224" s="48"/>
      <c r="D224" s="48"/>
      <c r="E224" s="48"/>
      <c r="F224" s="48"/>
    </row>
    <row r="225" spans="3:6" s="4" customFormat="1" ht="13.5">
      <c r="C225" s="48"/>
      <c r="D225" s="48"/>
      <c r="E225" s="48"/>
      <c r="F225" s="48"/>
    </row>
    <row r="226" spans="3:6" s="4" customFormat="1" ht="13.5">
      <c r="C226" s="48"/>
      <c r="D226" s="48"/>
      <c r="E226" s="48"/>
      <c r="F226" s="48"/>
    </row>
    <row r="227" spans="3:6" s="4" customFormat="1" ht="13.5">
      <c r="C227" s="48"/>
      <c r="D227" s="48"/>
      <c r="E227" s="48"/>
      <c r="F227" s="48"/>
    </row>
    <row r="228" spans="3:6" s="4" customFormat="1" ht="13.5">
      <c r="C228" s="48"/>
      <c r="D228" s="48"/>
      <c r="E228" s="48"/>
      <c r="F228" s="48"/>
    </row>
    <row r="229" spans="3:6" s="4" customFormat="1" ht="13.5">
      <c r="C229" s="48"/>
      <c r="D229" s="48"/>
      <c r="E229" s="48"/>
      <c r="F229" s="48"/>
    </row>
    <row r="230" spans="3:6" s="4" customFormat="1" ht="13.5">
      <c r="C230" s="48"/>
      <c r="D230" s="48"/>
      <c r="E230" s="48"/>
      <c r="F230" s="48"/>
    </row>
    <row r="231" spans="3:6" s="4" customFormat="1" ht="13.5">
      <c r="C231" s="48"/>
      <c r="D231" s="48"/>
      <c r="E231" s="48"/>
      <c r="F231" s="48"/>
    </row>
    <row r="232" spans="3:6" s="4" customFormat="1" ht="13.5">
      <c r="C232" s="48"/>
      <c r="D232" s="48"/>
      <c r="E232" s="48"/>
      <c r="F232" s="48"/>
    </row>
    <row r="233" spans="3:6" s="4" customFormat="1" ht="13.5">
      <c r="C233" s="48"/>
      <c r="D233" s="48"/>
      <c r="E233" s="48"/>
      <c r="F233" s="48"/>
    </row>
    <row r="234" spans="3:6" s="4" customFormat="1" ht="13.5">
      <c r="C234" s="48"/>
      <c r="D234" s="48"/>
      <c r="E234" s="48"/>
      <c r="F234" s="48"/>
    </row>
    <row r="235" spans="3:6" s="4" customFormat="1" ht="13.5">
      <c r="C235" s="48"/>
      <c r="D235" s="48"/>
      <c r="E235" s="48"/>
      <c r="F235" s="48"/>
    </row>
    <row r="236" spans="3:6" s="4" customFormat="1" ht="13.5">
      <c r="C236" s="48"/>
      <c r="D236" s="48"/>
      <c r="E236" s="48"/>
      <c r="F236" s="48"/>
    </row>
    <row r="237" spans="3:6" s="4" customFormat="1" ht="13.5">
      <c r="C237" s="48"/>
      <c r="D237" s="48"/>
      <c r="E237" s="48"/>
      <c r="F237" s="48"/>
    </row>
    <row r="238" spans="3:6" s="4" customFormat="1" ht="13.5">
      <c r="C238" s="48"/>
      <c r="D238" s="48"/>
      <c r="E238" s="48"/>
      <c r="F238" s="48"/>
    </row>
    <row r="239" spans="3:6" s="4" customFormat="1" ht="13.5">
      <c r="C239" s="48"/>
      <c r="D239" s="48"/>
      <c r="E239" s="48"/>
      <c r="F239" s="48"/>
    </row>
    <row r="240" spans="3:6" s="4" customFormat="1" ht="13.5">
      <c r="C240" s="48"/>
      <c r="D240" s="48"/>
      <c r="E240" s="48"/>
      <c r="F240" s="48"/>
    </row>
    <row r="241" spans="3:6" s="4" customFormat="1" ht="13.5">
      <c r="C241" s="48"/>
      <c r="D241" s="48"/>
      <c r="E241" s="48"/>
      <c r="F241" s="48"/>
    </row>
    <row r="242" spans="3:6" s="4" customFormat="1" ht="13.5">
      <c r="C242" s="48"/>
      <c r="D242" s="48"/>
      <c r="E242" s="48"/>
      <c r="F242" s="48"/>
    </row>
    <row r="243" spans="3:6" s="4" customFormat="1" ht="13.5">
      <c r="C243" s="48"/>
      <c r="D243" s="48"/>
      <c r="E243" s="48"/>
      <c r="F243" s="48"/>
    </row>
    <row r="244" spans="3:6" s="4" customFormat="1" ht="13.5">
      <c r="C244" s="48"/>
      <c r="D244" s="48"/>
      <c r="E244" s="48"/>
      <c r="F244" s="48"/>
    </row>
    <row r="245" spans="3:6" s="4" customFormat="1" ht="13.5">
      <c r="C245" s="48"/>
      <c r="D245" s="48"/>
      <c r="E245" s="48"/>
      <c r="F245" s="48"/>
    </row>
    <row r="246" spans="3:6" s="4" customFormat="1" ht="13.5">
      <c r="C246" s="48"/>
      <c r="D246" s="48"/>
      <c r="E246" s="48"/>
      <c r="F246" s="48"/>
    </row>
    <row r="247" spans="3:6" s="4" customFormat="1" ht="13.5">
      <c r="C247" s="48"/>
      <c r="D247" s="48"/>
      <c r="E247" s="48"/>
      <c r="F247" s="48"/>
    </row>
    <row r="248" spans="3:6" s="4" customFormat="1" ht="13.5">
      <c r="C248" s="48"/>
      <c r="D248" s="48"/>
      <c r="E248" s="48"/>
      <c r="F248" s="48"/>
    </row>
    <row r="249" spans="3:6" s="4" customFormat="1" ht="13.5">
      <c r="C249" s="48"/>
      <c r="D249" s="48"/>
      <c r="E249" s="48"/>
      <c r="F249" s="48"/>
    </row>
  </sheetData>
  <sheetProtection/>
  <mergeCells count="3">
    <mergeCell ref="A3:C3"/>
    <mergeCell ref="A4:M4"/>
    <mergeCell ref="A1:M2"/>
  </mergeCells>
  <printOptions/>
  <pageMargins left="0.35433070866141736" right="0.1968503937007874" top="0.5118110236220472" bottom="0.5118110236220472" header="0.2362204724409449" footer="0.15748031496062992"/>
  <pageSetup firstPageNumber="2" useFirstPageNumber="1" fitToHeight="0" fitToWidth="1" horizontalDpi="600" verticalDpi="600" orientation="landscape" paperSize="9" scale="50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5"/>
  <sheetViews>
    <sheetView zoomScalePageLayoutView="0" workbookViewId="0" topLeftCell="A15">
      <selection activeCell="D33" sqref="D33"/>
    </sheetView>
  </sheetViews>
  <sheetFormatPr defaultColWidth="9.140625" defaultRowHeight="12.75"/>
  <cols>
    <col min="1" max="1" width="11.28125" style="0" customWidth="1"/>
    <col min="2" max="2" width="39.57421875" style="0" customWidth="1"/>
    <col min="3" max="3" width="46.28125" style="0" customWidth="1"/>
    <col min="4" max="4" width="30.8515625" style="0" customWidth="1"/>
    <col min="5" max="5" width="19.28125" style="0" customWidth="1"/>
    <col min="6" max="6" width="13.57421875" style="0" bestFit="1" customWidth="1"/>
    <col min="7" max="7" width="12.421875" style="0" bestFit="1" customWidth="1"/>
    <col min="8" max="8" width="6.57421875" style="0" bestFit="1" customWidth="1"/>
  </cols>
  <sheetData>
    <row r="1" spans="1:5" ht="12.75">
      <c r="A1" s="611" t="s">
        <v>678</v>
      </c>
      <c r="B1" s="611"/>
      <c r="C1" s="611"/>
      <c r="D1" s="611"/>
      <c r="E1" s="611"/>
    </row>
    <row r="2" spans="1:5" s="49" customFormat="1" ht="32.25" customHeight="1">
      <c r="A2" s="55" t="s">
        <v>212</v>
      </c>
      <c r="B2" s="55" t="s">
        <v>213</v>
      </c>
      <c r="C2" s="55" t="s">
        <v>214</v>
      </c>
      <c r="D2" s="55" t="s">
        <v>210</v>
      </c>
      <c r="E2" s="55" t="s">
        <v>211</v>
      </c>
    </row>
    <row r="3" spans="1:5" ht="19.5" customHeight="1">
      <c r="A3" t="s">
        <v>223</v>
      </c>
      <c r="B3" s="50" t="s">
        <v>124</v>
      </c>
      <c r="C3" s="50" t="s">
        <v>222</v>
      </c>
      <c r="D3" s="50" t="s">
        <v>423</v>
      </c>
      <c r="E3" s="51">
        <v>1904</v>
      </c>
    </row>
    <row r="4" spans="2:5" ht="19.5" customHeight="1">
      <c r="B4" s="50"/>
      <c r="C4" s="50"/>
      <c r="D4" s="50"/>
      <c r="E4" s="51"/>
    </row>
    <row r="5" spans="1:5" ht="19.5" customHeight="1">
      <c r="A5" s="50" t="s">
        <v>216</v>
      </c>
      <c r="B5" s="50" t="s">
        <v>125</v>
      </c>
      <c r="C5" s="50" t="s">
        <v>226</v>
      </c>
      <c r="D5" s="50"/>
      <c r="E5" s="51">
        <v>0</v>
      </c>
    </row>
    <row r="6" spans="1:5" ht="19.5" customHeight="1">
      <c r="A6" s="50"/>
      <c r="B6" s="50"/>
      <c r="C6" s="50"/>
      <c r="D6" s="50"/>
      <c r="E6" s="51"/>
    </row>
    <row r="7" spans="1:5" ht="19.5" customHeight="1">
      <c r="A7" s="50" t="s">
        <v>218</v>
      </c>
      <c r="B7" s="50" t="s">
        <v>126</v>
      </c>
      <c r="C7" s="50" t="s">
        <v>224</v>
      </c>
      <c r="D7" s="50" t="s">
        <v>228</v>
      </c>
      <c r="E7" s="51">
        <v>5000</v>
      </c>
    </row>
    <row r="8" spans="1:5" ht="19.5" customHeight="1">
      <c r="A8" s="50" t="s">
        <v>218</v>
      </c>
      <c r="B8" s="50" t="s">
        <v>126</v>
      </c>
      <c r="C8" s="50" t="s">
        <v>225</v>
      </c>
      <c r="D8" s="50" t="s">
        <v>424</v>
      </c>
      <c r="E8" s="51">
        <v>2538</v>
      </c>
    </row>
    <row r="9" spans="1:5" ht="19.5" customHeight="1">
      <c r="A9" s="50"/>
      <c r="B9" s="50"/>
      <c r="C9" s="50"/>
      <c r="D9" s="50"/>
      <c r="E9" s="51"/>
    </row>
    <row r="10" spans="1:5" s="49" customFormat="1" ht="25.5">
      <c r="A10" s="75" t="s">
        <v>230</v>
      </c>
      <c r="B10" s="75" t="s">
        <v>231</v>
      </c>
      <c r="C10" s="75" t="s">
        <v>227</v>
      </c>
      <c r="D10" s="75" t="s">
        <v>229</v>
      </c>
      <c r="E10" s="76">
        <v>0</v>
      </c>
    </row>
    <row r="11" spans="5:7" s="77" customFormat="1" ht="12.75">
      <c r="E11" s="78"/>
      <c r="F11" s="272"/>
      <c r="G11" s="272"/>
    </row>
    <row r="12" spans="1:7" s="77" customFormat="1" ht="12.75">
      <c r="A12" s="75" t="s">
        <v>260</v>
      </c>
      <c r="B12" s="75" t="s">
        <v>259</v>
      </c>
      <c r="C12" s="75" t="s">
        <v>261</v>
      </c>
      <c r="D12" s="75" t="s">
        <v>262</v>
      </c>
      <c r="E12" s="51">
        <v>15000</v>
      </c>
      <c r="F12" s="49"/>
      <c r="G12" s="208"/>
    </row>
    <row r="13" spans="1:7" s="77" customFormat="1" ht="12.75">
      <c r="A13" s="75" t="s">
        <v>260</v>
      </c>
      <c r="B13" s="75" t="s">
        <v>259</v>
      </c>
      <c r="C13" s="75" t="s">
        <v>679</v>
      </c>
      <c r="D13" s="75" t="s">
        <v>680</v>
      </c>
      <c r="E13" s="535">
        <v>1250</v>
      </c>
      <c r="F13" s="85"/>
      <c r="G13" s="208"/>
    </row>
    <row r="14" spans="1:7" s="77" customFormat="1" ht="12.75">
      <c r="A14" s="75"/>
      <c r="B14" s="75"/>
      <c r="C14" s="75"/>
      <c r="E14" s="78"/>
      <c r="F14" s="85"/>
      <c r="G14" s="208"/>
    </row>
    <row r="15" spans="1:7" ht="19.5" customHeight="1">
      <c r="A15" s="50" t="s">
        <v>240</v>
      </c>
      <c r="B15" s="50" t="s">
        <v>69</v>
      </c>
      <c r="C15" s="50" t="s">
        <v>69</v>
      </c>
      <c r="D15" s="50" t="s">
        <v>229</v>
      </c>
      <c r="E15" s="51">
        <v>150</v>
      </c>
      <c r="F15" s="76"/>
      <c r="G15" s="215"/>
    </row>
    <row r="16" spans="1:7" ht="19.5" customHeight="1">
      <c r="A16" s="50"/>
      <c r="B16" s="50"/>
      <c r="C16" s="50"/>
      <c r="D16" s="50"/>
      <c r="E16" s="51"/>
      <c r="F16" s="215"/>
      <c r="G16" s="215"/>
    </row>
    <row r="17" spans="1:7" ht="19.5" customHeight="1">
      <c r="A17" s="50" t="s">
        <v>58</v>
      </c>
      <c r="B17" s="50" t="s">
        <v>71</v>
      </c>
      <c r="C17" s="50" t="s">
        <v>254</v>
      </c>
      <c r="D17" s="50" t="s">
        <v>228</v>
      </c>
      <c r="E17" s="51">
        <v>150</v>
      </c>
      <c r="F17" s="215"/>
      <c r="G17" s="215"/>
    </row>
    <row r="18" spans="1:5" ht="19.5" customHeight="1">
      <c r="A18" s="50"/>
      <c r="B18" s="50"/>
      <c r="C18" s="50"/>
      <c r="D18" s="50"/>
      <c r="E18" s="51"/>
    </row>
    <row r="19" spans="1:5" ht="19.5" customHeight="1">
      <c r="A19" s="50"/>
      <c r="B19" s="50"/>
      <c r="C19" s="50"/>
      <c r="D19" s="50"/>
      <c r="E19" s="51"/>
    </row>
    <row r="20" spans="1:5" ht="19.5" customHeight="1">
      <c r="A20" s="50" t="s">
        <v>135</v>
      </c>
      <c r="B20" s="50" t="s">
        <v>158</v>
      </c>
      <c r="C20" s="50" t="s">
        <v>681</v>
      </c>
      <c r="D20" s="50" t="s">
        <v>217</v>
      </c>
      <c r="E20" s="51">
        <v>120</v>
      </c>
    </row>
    <row r="21" spans="1:5" ht="19.5" customHeight="1">
      <c r="A21" s="50"/>
      <c r="B21" s="50"/>
      <c r="C21" s="50"/>
      <c r="D21" s="50"/>
      <c r="E21" s="51"/>
    </row>
    <row r="22" spans="1:7" ht="19.5" customHeight="1">
      <c r="A22" s="50" t="s">
        <v>375</v>
      </c>
      <c r="B22" s="50" t="s">
        <v>233</v>
      </c>
      <c r="C22" s="50" t="s">
        <v>255</v>
      </c>
      <c r="D22" s="50" t="s">
        <v>215</v>
      </c>
      <c r="E22" s="51">
        <v>150</v>
      </c>
      <c r="G22" s="50"/>
    </row>
    <row r="23" spans="1:5" ht="19.5" customHeight="1">
      <c r="A23" s="50"/>
      <c r="B23" s="50"/>
      <c r="C23" s="54"/>
      <c r="D23" s="54"/>
      <c r="E23" s="53"/>
    </row>
    <row r="24" spans="1:5" ht="19.5" customHeight="1">
      <c r="A24" s="50" t="s">
        <v>141</v>
      </c>
      <c r="B24" s="50" t="s">
        <v>142</v>
      </c>
      <c r="C24" s="50" t="s">
        <v>682</v>
      </c>
      <c r="D24" s="50" t="s">
        <v>215</v>
      </c>
      <c r="E24" s="51">
        <v>200</v>
      </c>
    </row>
    <row r="25" spans="1:255" s="50" customFormat="1" ht="19.5" customHeight="1">
      <c r="A25" s="50" t="s">
        <v>141</v>
      </c>
      <c r="B25" s="50" t="s">
        <v>142</v>
      </c>
      <c r="C25" s="50" t="s">
        <v>683</v>
      </c>
      <c r="D25" s="50" t="s">
        <v>219</v>
      </c>
      <c r="E25" s="51">
        <v>200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</row>
    <row r="26" spans="3:6" ht="19.5" customHeight="1">
      <c r="C26" s="50"/>
      <c r="D26" s="50"/>
      <c r="E26" s="51"/>
      <c r="F26" s="51"/>
    </row>
    <row r="27" spans="1:255" s="50" customFormat="1" ht="19.5" customHeight="1">
      <c r="A27" s="50" t="s">
        <v>153</v>
      </c>
      <c r="B27" s="50" t="s">
        <v>151</v>
      </c>
      <c r="C27" s="50" t="s">
        <v>684</v>
      </c>
      <c r="E27" s="51">
        <v>338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</row>
    <row r="28" ht="12.75">
      <c r="A28" s="51"/>
    </row>
    <row r="29" ht="12.75">
      <c r="A29" s="51"/>
    </row>
    <row r="30" spans="5:7" ht="29.25" customHeight="1">
      <c r="E30" s="53">
        <f>SUM(E3:E27)</f>
        <v>27000</v>
      </c>
      <c r="G30" s="51"/>
    </row>
    <row r="33" spans="4:5" ht="12.75">
      <c r="D33" s="407" t="s">
        <v>392</v>
      </c>
      <c r="E33" s="408">
        <v>0</v>
      </c>
    </row>
    <row r="35" spans="4:5" ht="12.75">
      <c r="D35" s="50"/>
      <c r="E35" s="53"/>
    </row>
  </sheetData>
  <sheetProtection/>
  <mergeCells count="1">
    <mergeCell ref="A1:E1"/>
  </mergeCells>
  <printOptions gridLines="1"/>
  <pageMargins left="0.27" right="0.17" top="0.31496062992125984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81"/>
  <sheetViews>
    <sheetView zoomScale="80" zoomScaleNormal="80" workbookViewId="0" topLeftCell="A134">
      <selection activeCell="C142" sqref="C142"/>
    </sheetView>
  </sheetViews>
  <sheetFormatPr defaultColWidth="9.140625" defaultRowHeight="37.5" customHeight="1"/>
  <cols>
    <col min="1" max="1" width="11.00390625" style="85" bestFit="1" customWidth="1"/>
    <col min="2" max="2" width="16.28125" style="422" bestFit="1" customWidth="1"/>
    <col min="3" max="3" width="94.421875" style="75" customWidth="1"/>
    <col min="4" max="4" width="23.00390625" style="50" customWidth="1"/>
    <col min="5" max="5" width="15.00390625" style="54" customWidth="1"/>
    <col min="6" max="6" width="12.421875" style="50" customWidth="1"/>
    <col min="7" max="7" width="53.140625" style="50" bestFit="1" customWidth="1"/>
    <col min="8" max="8" width="3.57421875" style="50" bestFit="1" customWidth="1"/>
    <col min="9" max="9" width="30.8515625" style="50" bestFit="1" customWidth="1"/>
    <col min="10" max="10" width="23.7109375" style="54" customWidth="1"/>
    <col min="11" max="11" width="13.8515625" style="54" bestFit="1" customWidth="1"/>
    <col min="12" max="12" width="11.8515625" style="200" bestFit="1" customWidth="1"/>
    <col min="13" max="13" width="15.28125" style="50" customWidth="1"/>
    <col min="14" max="14" width="9.140625" style="50" customWidth="1"/>
    <col min="15" max="15" width="9.140625" style="167" customWidth="1"/>
    <col min="16" max="16" width="5.57421875" style="167" customWidth="1"/>
    <col min="17" max="17" width="9.140625" style="167" hidden="1" customWidth="1"/>
    <col min="18" max="18" width="32.7109375" style="167" customWidth="1"/>
    <col min="19" max="19" width="11.421875" style="167" customWidth="1"/>
    <col min="20" max="20" width="9.140625" style="167" customWidth="1"/>
    <col min="21" max="21" width="12.8515625" style="167" bestFit="1" customWidth="1"/>
    <col min="22" max="24" width="9.140625" style="167" customWidth="1"/>
    <col min="25" max="16384" width="9.140625" style="50" customWidth="1"/>
  </cols>
  <sheetData>
    <row r="1" spans="1:9" ht="37.5" customHeight="1" thickBot="1">
      <c r="A1" s="620" t="s">
        <v>269</v>
      </c>
      <c r="B1" s="620"/>
      <c r="C1" s="620"/>
      <c r="D1" s="620"/>
      <c r="E1" s="620"/>
      <c r="F1" s="620"/>
      <c r="G1" s="620"/>
      <c r="H1" s="620"/>
      <c r="I1" s="620"/>
    </row>
    <row r="2" spans="1:24" s="52" customFormat="1" ht="37.5" customHeight="1" thickTop="1">
      <c r="A2" s="434" t="s">
        <v>264</v>
      </c>
      <c r="B2" s="435" t="s">
        <v>270</v>
      </c>
      <c r="C2" s="137" t="s">
        <v>271</v>
      </c>
      <c r="D2" s="137" t="s">
        <v>210</v>
      </c>
      <c r="E2" s="491" t="s">
        <v>211</v>
      </c>
      <c r="F2" s="137" t="s">
        <v>212</v>
      </c>
      <c r="G2" s="137" t="s">
        <v>213</v>
      </c>
      <c r="H2" s="137" t="s">
        <v>272</v>
      </c>
      <c r="I2" s="251" t="s">
        <v>273</v>
      </c>
      <c r="J2" s="240" t="s">
        <v>302</v>
      </c>
      <c r="K2" s="202" t="s">
        <v>304</v>
      </c>
      <c r="L2" s="203" t="s">
        <v>303</v>
      </c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12" ht="37.5" customHeight="1">
      <c r="A3" s="492">
        <v>1</v>
      </c>
      <c r="B3" s="493">
        <v>42737</v>
      </c>
      <c r="C3" s="494" t="s">
        <v>449</v>
      </c>
      <c r="D3" s="494" t="s">
        <v>277</v>
      </c>
      <c r="E3" s="495">
        <v>6.95</v>
      </c>
      <c r="F3" s="494" t="s">
        <v>375</v>
      </c>
      <c r="G3" s="494" t="s">
        <v>233</v>
      </c>
      <c r="H3" s="494" t="s">
        <v>279</v>
      </c>
      <c r="I3" s="496" t="s">
        <v>308</v>
      </c>
      <c r="J3" s="409"/>
      <c r="K3" s="410"/>
      <c r="L3" s="411"/>
    </row>
    <row r="4" spans="1:12" ht="37.5" customHeight="1">
      <c r="A4" s="492">
        <v>2</v>
      </c>
      <c r="B4" s="493">
        <v>42737</v>
      </c>
      <c r="C4" s="494" t="s">
        <v>309</v>
      </c>
      <c r="D4" s="494" t="s">
        <v>277</v>
      </c>
      <c r="E4" s="495">
        <v>25.14</v>
      </c>
      <c r="F4" s="494" t="s">
        <v>141</v>
      </c>
      <c r="G4" s="494" t="s">
        <v>142</v>
      </c>
      <c r="H4" s="494" t="s">
        <v>279</v>
      </c>
      <c r="I4" s="496" t="s">
        <v>308</v>
      </c>
      <c r="J4" s="409"/>
      <c r="K4" s="410"/>
      <c r="L4" s="411"/>
    </row>
    <row r="5" spans="1:12" ht="37.5" customHeight="1">
      <c r="A5" s="492">
        <v>3</v>
      </c>
      <c r="B5" s="497">
        <v>42737</v>
      </c>
      <c r="C5" s="498" t="s">
        <v>450</v>
      </c>
      <c r="D5" s="498" t="s">
        <v>277</v>
      </c>
      <c r="E5" s="499">
        <v>7</v>
      </c>
      <c r="F5" s="498" t="s">
        <v>375</v>
      </c>
      <c r="G5" s="498" t="s">
        <v>233</v>
      </c>
      <c r="H5" s="498" t="s">
        <v>279</v>
      </c>
      <c r="I5" s="505" t="s">
        <v>358</v>
      </c>
      <c r="J5" s="451"/>
      <c r="K5" s="452"/>
      <c r="L5" s="453"/>
    </row>
    <row r="6" spans="1:12" ht="37.5" customHeight="1">
      <c r="A6" s="492">
        <v>4</v>
      </c>
      <c r="B6" s="497">
        <v>42737</v>
      </c>
      <c r="C6" s="498" t="s">
        <v>309</v>
      </c>
      <c r="D6" s="498" t="s">
        <v>277</v>
      </c>
      <c r="E6" s="499">
        <v>25.14</v>
      </c>
      <c r="F6" s="498" t="s">
        <v>141</v>
      </c>
      <c r="G6" s="498" t="s">
        <v>142</v>
      </c>
      <c r="H6" s="498" t="s">
        <v>279</v>
      </c>
      <c r="I6" s="505" t="s">
        <v>358</v>
      </c>
      <c r="J6" s="451"/>
      <c r="K6" s="452"/>
      <c r="L6" s="453"/>
    </row>
    <row r="7" spans="1:12" ht="37.5" customHeight="1">
      <c r="A7" s="492">
        <v>5</v>
      </c>
      <c r="B7" s="497">
        <v>42748</v>
      </c>
      <c r="C7" s="498" t="s">
        <v>518</v>
      </c>
      <c r="D7" s="498" t="s">
        <v>322</v>
      </c>
      <c r="E7" s="499">
        <v>2369.63</v>
      </c>
      <c r="F7" s="503" t="s">
        <v>249</v>
      </c>
      <c r="G7" s="504" t="s">
        <v>250</v>
      </c>
      <c r="H7" s="498" t="s">
        <v>278</v>
      </c>
      <c r="I7" s="505" t="s">
        <v>358</v>
      </c>
      <c r="J7" s="451"/>
      <c r="K7" s="452"/>
      <c r="L7" s="453"/>
    </row>
    <row r="8" spans="1:12" ht="37.5" customHeight="1">
      <c r="A8" s="492">
        <v>6</v>
      </c>
      <c r="B8" s="493">
        <v>42751</v>
      </c>
      <c r="C8" s="494" t="s">
        <v>493</v>
      </c>
      <c r="D8" s="494" t="s">
        <v>591</v>
      </c>
      <c r="E8" s="495">
        <v>2730.74</v>
      </c>
      <c r="F8" s="494" t="s">
        <v>52</v>
      </c>
      <c r="G8" s="494" t="s">
        <v>126</v>
      </c>
      <c r="H8" s="494" t="s">
        <v>279</v>
      </c>
      <c r="I8" s="496" t="s">
        <v>308</v>
      </c>
      <c r="J8" s="409">
        <f>'GIORNALE DELLE ENTRATE'!E3</f>
        <v>410</v>
      </c>
      <c r="K8" s="410">
        <f>E8-J8</f>
        <v>2320.74</v>
      </c>
      <c r="L8" s="411"/>
    </row>
    <row r="9" spans="1:12" ht="37.5" customHeight="1">
      <c r="A9" s="492">
        <v>7</v>
      </c>
      <c r="B9" s="493">
        <v>42751</v>
      </c>
      <c r="C9" s="494" t="s">
        <v>494</v>
      </c>
      <c r="D9" s="494" t="s">
        <v>592</v>
      </c>
      <c r="E9" s="495">
        <v>1903.2</v>
      </c>
      <c r="F9" s="494" t="s">
        <v>49</v>
      </c>
      <c r="G9" s="494" t="s">
        <v>124</v>
      </c>
      <c r="H9" s="494" t="s">
        <v>279</v>
      </c>
      <c r="I9" s="496" t="s">
        <v>308</v>
      </c>
      <c r="J9" s="409">
        <f>'GIORNALE DELLE ENTRATE'!E4</f>
        <v>300</v>
      </c>
      <c r="K9" s="410">
        <f>E9-J9</f>
        <v>1603.2</v>
      </c>
      <c r="L9" s="411"/>
    </row>
    <row r="10" spans="1:12" ht="37.5" customHeight="1">
      <c r="A10" s="492">
        <v>8</v>
      </c>
      <c r="B10" s="493">
        <v>42765</v>
      </c>
      <c r="C10" s="494" t="s">
        <v>495</v>
      </c>
      <c r="D10" s="494" t="s">
        <v>593</v>
      </c>
      <c r="E10" s="495">
        <v>2000</v>
      </c>
      <c r="F10" s="494" t="s">
        <v>52</v>
      </c>
      <c r="G10" s="494" t="s">
        <v>126</v>
      </c>
      <c r="H10" s="494" t="s">
        <v>279</v>
      </c>
      <c r="I10" s="496" t="s">
        <v>308</v>
      </c>
      <c r="J10" s="409">
        <f>'GIORNALE DELLE ENTRATE'!E6</f>
        <v>400</v>
      </c>
      <c r="K10" s="410">
        <f>E10-J10</f>
        <v>1600</v>
      </c>
      <c r="L10" s="411"/>
    </row>
    <row r="11" spans="1:12" ht="37.5" customHeight="1">
      <c r="A11" s="492">
        <v>9</v>
      </c>
      <c r="B11" s="493">
        <v>42767</v>
      </c>
      <c r="C11" s="494" t="s">
        <v>496</v>
      </c>
      <c r="D11" s="494" t="s">
        <v>277</v>
      </c>
      <c r="E11" s="495">
        <v>6.95</v>
      </c>
      <c r="F11" s="494" t="s">
        <v>375</v>
      </c>
      <c r="G11" s="494" t="s">
        <v>233</v>
      </c>
      <c r="H11" s="494" t="s">
        <v>278</v>
      </c>
      <c r="I11" s="496" t="s">
        <v>308</v>
      </c>
      <c r="J11" s="409"/>
      <c r="K11" s="410"/>
      <c r="L11" s="411"/>
    </row>
    <row r="12" spans="1:12" ht="37.5" customHeight="1">
      <c r="A12" s="492">
        <v>10</v>
      </c>
      <c r="B12" s="497">
        <v>42767</v>
      </c>
      <c r="C12" s="498" t="s">
        <v>519</v>
      </c>
      <c r="D12" s="498" t="s">
        <v>277</v>
      </c>
      <c r="E12" s="499">
        <v>7</v>
      </c>
      <c r="F12" s="498" t="s">
        <v>375</v>
      </c>
      <c r="G12" s="498" t="s">
        <v>233</v>
      </c>
      <c r="H12" s="498" t="s">
        <v>278</v>
      </c>
      <c r="I12" s="505" t="s">
        <v>358</v>
      </c>
      <c r="J12" s="451"/>
      <c r="K12" s="452"/>
      <c r="L12" s="453"/>
    </row>
    <row r="13" spans="1:12" ht="37.5" customHeight="1">
      <c r="A13" s="492">
        <v>11</v>
      </c>
      <c r="B13" s="493">
        <v>42779</v>
      </c>
      <c r="C13" s="494" t="s">
        <v>668</v>
      </c>
      <c r="D13" s="494" t="s">
        <v>460</v>
      </c>
      <c r="E13" s="495">
        <v>38730.47</v>
      </c>
      <c r="F13" s="494" t="s">
        <v>249</v>
      </c>
      <c r="G13" s="494" t="s">
        <v>250</v>
      </c>
      <c r="H13" s="494" t="s">
        <v>279</v>
      </c>
      <c r="I13" s="496" t="s">
        <v>667</v>
      </c>
      <c r="J13" s="409"/>
      <c r="K13" s="410">
        <v>91152.51</v>
      </c>
      <c r="L13" s="411"/>
    </row>
    <row r="14" spans="1:12" ht="37.5" customHeight="1">
      <c r="A14" s="492">
        <v>12</v>
      </c>
      <c r="B14" s="493">
        <v>42779</v>
      </c>
      <c r="C14" s="494" t="s">
        <v>669</v>
      </c>
      <c r="D14" s="494" t="s">
        <v>460</v>
      </c>
      <c r="E14" s="495">
        <v>17472.66</v>
      </c>
      <c r="F14" s="494" t="s">
        <v>249</v>
      </c>
      <c r="G14" s="494" t="s">
        <v>250</v>
      </c>
      <c r="H14" s="494" t="s">
        <v>279</v>
      </c>
      <c r="I14" s="496" t="s">
        <v>448</v>
      </c>
      <c r="J14" s="409"/>
      <c r="K14" s="410"/>
      <c r="L14" s="411"/>
    </row>
    <row r="15" spans="1:12" ht="37.5" customHeight="1">
      <c r="A15" s="492">
        <v>13</v>
      </c>
      <c r="B15" s="493">
        <v>42779</v>
      </c>
      <c r="C15" s="494" t="s">
        <v>670</v>
      </c>
      <c r="D15" s="494" t="s">
        <v>460</v>
      </c>
      <c r="E15" s="495">
        <v>46093.75</v>
      </c>
      <c r="F15" s="494" t="s">
        <v>249</v>
      </c>
      <c r="G15" s="494" t="s">
        <v>250</v>
      </c>
      <c r="H15" s="494" t="s">
        <v>278</v>
      </c>
      <c r="I15" s="496" t="s">
        <v>492</v>
      </c>
      <c r="J15" s="409"/>
      <c r="K15" s="410"/>
      <c r="L15" s="411"/>
    </row>
    <row r="16" spans="1:12" ht="37.5" customHeight="1">
      <c r="A16" s="492">
        <v>14</v>
      </c>
      <c r="B16" s="493">
        <v>42779</v>
      </c>
      <c r="C16" s="494" t="s">
        <v>772</v>
      </c>
      <c r="D16" s="494" t="s">
        <v>277</v>
      </c>
      <c r="E16" s="495">
        <v>5.54</v>
      </c>
      <c r="F16" s="494" t="s">
        <v>375</v>
      </c>
      <c r="G16" s="494" t="s">
        <v>233</v>
      </c>
      <c r="H16" s="494" t="s">
        <v>278</v>
      </c>
      <c r="I16" s="496" t="s">
        <v>308</v>
      </c>
      <c r="J16" s="409"/>
      <c r="K16" s="410"/>
      <c r="L16" s="411"/>
    </row>
    <row r="17" spans="1:12" ht="37.5" customHeight="1">
      <c r="A17" s="492">
        <v>15</v>
      </c>
      <c r="B17" s="493">
        <v>42782</v>
      </c>
      <c r="C17" s="494" t="s">
        <v>630</v>
      </c>
      <c r="D17" s="494" t="s">
        <v>295</v>
      </c>
      <c r="E17" s="495">
        <v>61.39</v>
      </c>
      <c r="F17" s="494" t="s">
        <v>173</v>
      </c>
      <c r="G17" s="494" t="s">
        <v>171</v>
      </c>
      <c r="H17" s="494" t="s">
        <v>279</v>
      </c>
      <c r="I17" s="496" t="s">
        <v>308</v>
      </c>
      <c r="J17" s="409"/>
      <c r="K17" s="410"/>
      <c r="L17" s="411"/>
    </row>
    <row r="18" spans="1:12" ht="37.5" customHeight="1">
      <c r="A18" s="492">
        <v>16</v>
      </c>
      <c r="B18" s="493">
        <v>42782</v>
      </c>
      <c r="C18" s="494" t="s">
        <v>629</v>
      </c>
      <c r="D18" s="494" t="s">
        <v>280</v>
      </c>
      <c r="E18" s="495">
        <v>1110</v>
      </c>
      <c r="F18" s="494" t="s">
        <v>79</v>
      </c>
      <c r="G18" s="494" t="s">
        <v>0</v>
      </c>
      <c r="H18" s="494" t="s">
        <v>279</v>
      </c>
      <c r="I18" s="496" t="s">
        <v>308</v>
      </c>
      <c r="J18" s="409"/>
      <c r="K18" s="410"/>
      <c r="L18" s="411"/>
    </row>
    <row r="19" spans="1:12" ht="37.5" customHeight="1">
      <c r="A19" s="492">
        <v>17</v>
      </c>
      <c r="B19" s="493">
        <v>42782</v>
      </c>
      <c r="C19" s="494" t="s">
        <v>628</v>
      </c>
      <c r="D19" s="494" t="s">
        <v>280</v>
      </c>
      <c r="E19" s="495">
        <v>710</v>
      </c>
      <c r="F19" s="494" t="s">
        <v>79</v>
      </c>
      <c r="G19" s="494" t="s">
        <v>0</v>
      </c>
      <c r="H19" s="494" t="s">
        <v>278</v>
      </c>
      <c r="I19" s="496" t="s">
        <v>308</v>
      </c>
      <c r="J19" s="409"/>
      <c r="K19" s="410"/>
      <c r="L19" s="411"/>
    </row>
    <row r="20" spans="1:12" ht="37.5" customHeight="1">
      <c r="A20" s="492">
        <v>18</v>
      </c>
      <c r="B20" s="493">
        <v>42786</v>
      </c>
      <c r="C20" s="494" t="s">
        <v>497</v>
      </c>
      <c r="D20" s="494" t="s">
        <v>594</v>
      </c>
      <c r="E20" s="495">
        <v>71.93</v>
      </c>
      <c r="F20" s="494" t="s">
        <v>207</v>
      </c>
      <c r="G20" s="494" t="s">
        <v>208</v>
      </c>
      <c r="H20" s="494" t="s">
        <v>278</v>
      </c>
      <c r="I20" s="496" t="s">
        <v>625</v>
      </c>
      <c r="J20" s="409"/>
      <c r="K20" s="410"/>
      <c r="L20" s="411"/>
    </row>
    <row r="21" spans="1:12" ht="37.5" customHeight="1">
      <c r="A21" s="492">
        <v>19</v>
      </c>
      <c r="B21" s="493">
        <v>42786</v>
      </c>
      <c r="C21" s="494" t="s">
        <v>498</v>
      </c>
      <c r="D21" s="494" t="s">
        <v>595</v>
      </c>
      <c r="E21" s="495">
        <v>14.6</v>
      </c>
      <c r="F21" s="494" t="s">
        <v>58</v>
      </c>
      <c r="G21" s="494" t="s">
        <v>71</v>
      </c>
      <c r="H21" s="494" t="s">
        <v>278</v>
      </c>
      <c r="I21" s="496" t="s">
        <v>308</v>
      </c>
      <c r="J21" s="409"/>
      <c r="K21" s="410"/>
      <c r="L21" s="411"/>
    </row>
    <row r="22" spans="1:12" ht="37.5" customHeight="1">
      <c r="A22" s="492">
        <v>20</v>
      </c>
      <c r="B22" s="493">
        <v>42795</v>
      </c>
      <c r="C22" s="494" t="s">
        <v>499</v>
      </c>
      <c r="D22" s="494" t="s">
        <v>277</v>
      </c>
      <c r="E22" s="495">
        <v>6.95</v>
      </c>
      <c r="F22" s="494" t="s">
        <v>375</v>
      </c>
      <c r="G22" s="494" t="s">
        <v>233</v>
      </c>
      <c r="H22" s="494" t="s">
        <v>278</v>
      </c>
      <c r="I22" s="496" t="s">
        <v>308</v>
      </c>
      <c r="J22" s="409"/>
      <c r="K22" s="410"/>
      <c r="L22" s="411"/>
    </row>
    <row r="23" spans="1:12" ht="37.5" customHeight="1">
      <c r="A23" s="492">
        <v>21</v>
      </c>
      <c r="B23" s="497">
        <v>42795</v>
      </c>
      <c r="C23" s="498" t="s">
        <v>520</v>
      </c>
      <c r="D23" s="498" t="s">
        <v>277</v>
      </c>
      <c r="E23" s="499">
        <v>7</v>
      </c>
      <c r="F23" s="498" t="s">
        <v>375</v>
      </c>
      <c r="G23" s="498" t="s">
        <v>233</v>
      </c>
      <c r="H23" s="498" t="s">
        <v>278</v>
      </c>
      <c r="I23" s="505" t="s">
        <v>358</v>
      </c>
      <c r="J23" s="451"/>
      <c r="K23" s="452"/>
      <c r="L23" s="453"/>
    </row>
    <row r="24" spans="1:12" ht="37.5" customHeight="1">
      <c r="A24" s="492">
        <v>22</v>
      </c>
      <c r="B24" s="493">
        <v>42801</v>
      </c>
      <c r="C24" s="494" t="s">
        <v>500</v>
      </c>
      <c r="D24" s="494" t="s">
        <v>596</v>
      </c>
      <c r="E24" s="495">
        <v>2500</v>
      </c>
      <c r="F24" s="494" t="s">
        <v>52</v>
      </c>
      <c r="G24" s="494" t="s">
        <v>126</v>
      </c>
      <c r="H24" s="494" t="s">
        <v>278</v>
      </c>
      <c r="I24" s="496" t="s">
        <v>358</v>
      </c>
      <c r="J24" s="409">
        <f>'GIORNALE DELLE ENTRATE'!E11</f>
        <v>500</v>
      </c>
      <c r="K24" s="410">
        <f>E24-J24</f>
        <v>2000</v>
      </c>
      <c r="L24" s="411"/>
    </row>
    <row r="25" spans="1:12" ht="37.5" customHeight="1">
      <c r="A25" s="492">
        <v>23</v>
      </c>
      <c r="B25" s="493">
        <v>42814</v>
      </c>
      <c r="C25" s="494" t="s">
        <v>631</v>
      </c>
      <c r="D25" s="494" t="s">
        <v>268</v>
      </c>
      <c r="E25" s="495">
        <v>2000</v>
      </c>
      <c r="F25" s="494" t="s">
        <v>147</v>
      </c>
      <c r="G25" s="494" t="s">
        <v>188</v>
      </c>
      <c r="H25" s="494" t="s">
        <v>278</v>
      </c>
      <c r="I25" s="496" t="s">
        <v>308</v>
      </c>
      <c r="J25" s="409"/>
      <c r="K25" s="410"/>
      <c r="L25" s="411"/>
    </row>
    <row r="26" spans="1:12" ht="37.5" customHeight="1">
      <c r="A26" s="492">
        <v>24</v>
      </c>
      <c r="B26" s="493">
        <v>42814</v>
      </c>
      <c r="C26" s="494" t="s">
        <v>601</v>
      </c>
      <c r="D26" s="494" t="s">
        <v>277</v>
      </c>
      <c r="E26" s="495">
        <v>0.54</v>
      </c>
      <c r="F26" s="494" t="s">
        <v>375</v>
      </c>
      <c r="G26" s="494" t="s">
        <v>233</v>
      </c>
      <c r="H26" s="494" t="s">
        <v>278</v>
      </c>
      <c r="I26" s="496" t="s">
        <v>308</v>
      </c>
      <c r="J26" s="409"/>
      <c r="K26" s="410"/>
      <c r="L26" s="411"/>
    </row>
    <row r="27" spans="1:12" ht="37.5" customHeight="1">
      <c r="A27" s="492">
        <v>25</v>
      </c>
      <c r="B27" s="493">
        <v>42814</v>
      </c>
      <c r="C27" s="494" t="s">
        <v>501</v>
      </c>
      <c r="D27" s="494" t="s">
        <v>597</v>
      </c>
      <c r="E27" s="495">
        <v>409.07</v>
      </c>
      <c r="F27" s="494" t="s">
        <v>207</v>
      </c>
      <c r="G27" s="494" t="s">
        <v>208</v>
      </c>
      <c r="H27" s="494" t="s">
        <v>278</v>
      </c>
      <c r="I27" s="496" t="s">
        <v>632</v>
      </c>
      <c r="J27" s="409"/>
      <c r="K27" s="410"/>
      <c r="L27" s="411"/>
    </row>
    <row r="28" spans="1:12" ht="37.5" customHeight="1">
      <c r="A28" s="492">
        <v>26</v>
      </c>
      <c r="B28" s="493">
        <v>42817</v>
      </c>
      <c r="C28" s="494" t="s">
        <v>603</v>
      </c>
      <c r="D28" s="494" t="s">
        <v>604</v>
      </c>
      <c r="E28" s="495">
        <v>2000</v>
      </c>
      <c r="F28" s="494" t="s">
        <v>147</v>
      </c>
      <c r="G28" s="494" t="s">
        <v>188</v>
      </c>
      <c r="H28" s="494" t="s">
        <v>278</v>
      </c>
      <c r="I28" s="496" t="s">
        <v>308</v>
      </c>
      <c r="J28" s="409"/>
      <c r="K28" s="410"/>
      <c r="L28" s="411"/>
    </row>
    <row r="29" spans="1:12" ht="37.5" customHeight="1">
      <c r="A29" s="492">
        <v>27</v>
      </c>
      <c r="B29" s="497">
        <v>42818</v>
      </c>
      <c r="C29" s="498" t="s">
        <v>605</v>
      </c>
      <c r="D29" s="498" t="s">
        <v>322</v>
      </c>
      <c r="E29" s="499">
        <v>2400.5</v>
      </c>
      <c r="F29" s="503" t="s">
        <v>249</v>
      </c>
      <c r="G29" s="504" t="s">
        <v>250</v>
      </c>
      <c r="H29" s="498" t="s">
        <v>278</v>
      </c>
      <c r="I29" s="505" t="s">
        <v>358</v>
      </c>
      <c r="J29" s="451"/>
      <c r="K29" s="452"/>
      <c r="L29" s="453"/>
    </row>
    <row r="30" spans="1:12" ht="37.5" customHeight="1">
      <c r="A30" s="492">
        <v>28</v>
      </c>
      <c r="B30" s="493">
        <v>42828</v>
      </c>
      <c r="C30" s="494" t="s">
        <v>502</v>
      </c>
      <c r="D30" s="494" t="s">
        <v>277</v>
      </c>
      <c r="E30" s="495">
        <v>6.95</v>
      </c>
      <c r="F30" s="494" t="s">
        <v>375</v>
      </c>
      <c r="G30" s="494" t="s">
        <v>233</v>
      </c>
      <c r="H30" s="494" t="s">
        <v>278</v>
      </c>
      <c r="I30" s="496" t="s">
        <v>308</v>
      </c>
      <c r="J30" s="409"/>
      <c r="K30" s="410"/>
      <c r="L30" s="411"/>
    </row>
    <row r="31" spans="1:12" ht="37.5" customHeight="1">
      <c r="A31" s="492">
        <v>29</v>
      </c>
      <c r="B31" s="493">
        <v>42828</v>
      </c>
      <c r="C31" s="494" t="s">
        <v>309</v>
      </c>
      <c r="D31" s="494" t="s">
        <v>277</v>
      </c>
      <c r="E31" s="495">
        <v>24.66</v>
      </c>
      <c r="F31" s="494" t="s">
        <v>141</v>
      </c>
      <c r="G31" s="494" t="s">
        <v>142</v>
      </c>
      <c r="H31" s="494" t="s">
        <v>278</v>
      </c>
      <c r="I31" s="496" t="s">
        <v>308</v>
      </c>
      <c r="J31" s="409"/>
      <c r="K31" s="410"/>
      <c r="L31" s="411"/>
    </row>
    <row r="32" spans="1:12" ht="37.5" customHeight="1">
      <c r="A32" s="492">
        <v>30</v>
      </c>
      <c r="B32" s="493">
        <v>42828</v>
      </c>
      <c r="C32" s="494" t="s">
        <v>503</v>
      </c>
      <c r="D32" s="494" t="s">
        <v>598</v>
      </c>
      <c r="E32" s="495">
        <v>417.21</v>
      </c>
      <c r="F32" s="494" t="s">
        <v>207</v>
      </c>
      <c r="G32" s="494" t="s">
        <v>208</v>
      </c>
      <c r="H32" s="494" t="s">
        <v>278</v>
      </c>
      <c r="I32" s="496" t="s">
        <v>429</v>
      </c>
      <c r="J32" s="409"/>
      <c r="K32" s="410"/>
      <c r="L32" s="411"/>
    </row>
    <row r="33" spans="1:12" ht="37.5" customHeight="1">
      <c r="A33" s="492">
        <v>31</v>
      </c>
      <c r="B33" s="497">
        <v>42828</v>
      </c>
      <c r="C33" s="498" t="s">
        <v>521</v>
      </c>
      <c r="D33" s="498" t="s">
        <v>277</v>
      </c>
      <c r="E33" s="499">
        <v>7</v>
      </c>
      <c r="F33" s="498" t="s">
        <v>375</v>
      </c>
      <c r="G33" s="498" t="s">
        <v>233</v>
      </c>
      <c r="H33" s="498" t="s">
        <v>278</v>
      </c>
      <c r="I33" s="505" t="s">
        <v>358</v>
      </c>
      <c r="J33" s="451"/>
      <c r="K33" s="452"/>
      <c r="L33" s="453"/>
    </row>
    <row r="34" spans="1:12" ht="37.5" customHeight="1">
      <c r="A34" s="492">
        <v>32</v>
      </c>
      <c r="B34" s="497">
        <v>42828</v>
      </c>
      <c r="C34" s="498" t="s">
        <v>309</v>
      </c>
      <c r="D34" s="498" t="s">
        <v>277</v>
      </c>
      <c r="E34" s="499">
        <v>24.66</v>
      </c>
      <c r="F34" s="503" t="s">
        <v>249</v>
      </c>
      <c r="G34" s="504" t="s">
        <v>250</v>
      </c>
      <c r="H34" s="498" t="s">
        <v>278</v>
      </c>
      <c r="I34" s="505" t="s">
        <v>358</v>
      </c>
      <c r="J34" s="451"/>
      <c r="K34" s="452"/>
      <c r="L34" s="453"/>
    </row>
    <row r="35" spans="1:12" ht="37.5" customHeight="1">
      <c r="A35" s="492">
        <v>33</v>
      </c>
      <c r="B35" s="497">
        <v>42828</v>
      </c>
      <c r="C35" s="498" t="s">
        <v>606</v>
      </c>
      <c r="D35" s="498" t="s">
        <v>322</v>
      </c>
      <c r="E35" s="499">
        <v>350.5</v>
      </c>
      <c r="F35" s="503" t="s">
        <v>249</v>
      </c>
      <c r="G35" s="504" t="s">
        <v>250</v>
      </c>
      <c r="H35" s="498" t="s">
        <v>278</v>
      </c>
      <c r="I35" s="505" t="s">
        <v>358</v>
      </c>
      <c r="J35" s="451"/>
      <c r="K35" s="452"/>
      <c r="L35" s="453"/>
    </row>
    <row r="36" spans="1:12" ht="37.5" customHeight="1">
      <c r="A36" s="492">
        <v>34</v>
      </c>
      <c r="B36" s="497">
        <v>42828</v>
      </c>
      <c r="C36" s="498" t="s">
        <v>522</v>
      </c>
      <c r="D36" s="498" t="s">
        <v>322</v>
      </c>
      <c r="E36" s="499">
        <v>158.83</v>
      </c>
      <c r="F36" s="503" t="s">
        <v>249</v>
      </c>
      <c r="G36" s="504" t="s">
        <v>250</v>
      </c>
      <c r="H36" s="498" t="s">
        <v>278</v>
      </c>
      <c r="I36" s="505" t="s">
        <v>358</v>
      </c>
      <c r="J36" s="451"/>
      <c r="K36" s="452"/>
      <c r="L36" s="453"/>
    </row>
    <row r="37" spans="1:12" ht="37.5" customHeight="1">
      <c r="A37" s="492">
        <v>35</v>
      </c>
      <c r="B37" s="497">
        <v>42828</v>
      </c>
      <c r="C37" s="498" t="s">
        <v>523</v>
      </c>
      <c r="D37" s="498" t="s">
        <v>322</v>
      </c>
      <c r="E37" s="499">
        <v>350.5</v>
      </c>
      <c r="F37" s="503" t="s">
        <v>249</v>
      </c>
      <c r="G37" s="504" t="s">
        <v>250</v>
      </c>
      <c r="H37" s="498" t="s">
        <v>278</v>
      </c>
      <c r="I37" s="505" t="s">
        <v>358</v>
      </c>
      <c r="J37" s="451"/>
      <c r="K37" s="452"/>
      <c r="L37" s="453"/>
    </row>
    <row r="38" spans="1:12" ht="37.5" customHeight="1">
      <c r="A38" s="492">
        <v>36</v>
      </c>
      <c r="B38" s="497">
        <v>42828</v>
      </c>
      <c r="C38" s="498" t="s">
        <v>524</v>
      </c>
      <c r="D38" s="498" t="s">
        <v>322</v>
      </c>
      <c r="E38" s="499">
        <v>350.5</v>
      </c>
      <c r="F38" s="503" t="s">
        <v>249</v>
      </c>
      <c r="G38" s="504" t="s">
        <v>250</v>
      </c>
      <c r="H38" s="498" t="s">
        <v>278</v>
      </c>
      <c r="I38" s="505" t="s">
        <v>358</v>
      </c>
      <c r="J38" s="451"/>
      <c r="K38" s="452"/>
      <c r="L38" s="453"/>
    </row>
    <row r="39" spans="1:12" ht="37.5" customHeight="1">
      <c r="A39" s="492">
        <v>37</v>
      </c>
      <c r="B39" s="497">
        <v>42828</v>
      </c>
      <c r="C39" s="498" t="s">
        <v>525</v>
      </c>
      <c r="D39" s="498" t="s">
        <v>322</v>
      </c>
      <c r="E39" s="499">
        <v>350.5</v>
      </c>
      <c r="F39" s="503" t="s">
        <v>249</v>
      </c>
      <c r="G39" s="504" t="s">
        <v>250</v>
      </c>
      <c r="H39" s="498" t="s">
        <v>278</v>
      </c>
      <c r="I39" s="505" t="s">
        <v>358</v>
      </c>
      <c r="J39" s="451"/>
      <c r="K39" s="452"/>
      <c r="L39" s="453"/>
    </row>
    <row r="40" spans="1:12" ht="37.5" customHeight="1">
      <c r="A40" s="492">
        <v>38</v>
      </c>
      <c r="B40" s="497">
        <v>42828</v>
      </c>
      <c r="C40" s="498" t="s">
        <v>526</v>
      </c>
      <c r="D40" s="498" t="s">
        <v>322</v>
      </c>
      <c r="E40" s="499">
        <v>350.5</v>
      </c>
      <c r="F40" s="503" t="s">
        <v>249</v>
      </c>
      <c r="G40" s="504" t="s">
        <v>250</v>
      </c>
      <c r="H40" s="498" t="s">
        <v>278</v>
      </c>
      <c r="I40" s="505" t="s">
        <v>358</v>
      </c>
      <c r="J40" s="451"/>
      <c r="K40" s="452"/>
      <c r="L40" s="453"/>
    </row>
    <row r="41" spans="1:12" ht="37.5" customHeight="1">
      <c r="A41" s="492">
        <v>39</v>
      </c>
      <c r="B41" s="497">
        <v>42828</v>
      </c>
      <c r="C41" s="498" t="s">
        <v>527</v>
      </c>
      <c r="D41" s="498" t="s">
        <v>322</v>
      </c>
      <c r="E41" s="499">
        <v>158.83</v>
      </c>
      <c r="F41" s="503" t="s">
        <v>249</v>
      </c>
      <c r="G41" s="504" t="s">
        <v>250</v>
      </c>
      <c r="H41" s="498" t="s">
        <v>278</v>
      </c>
      <c r="I41" s="505" t="s">
        <v>358</v>
      </c>
      <c r="J41" s="451"/>
      <c r="K41" s="452"/>
      <c r="L41" s="453"/>
    </row>
    <row r="42" spans="1:12" ht="37.5" customHeight="1">
      <c r="A42" s="492">
        <v>40</v>
      </c>
      <c r="B42" s="497">
        <v>42828</v>
      </c>
      <c r="C42" s="498" t="s">
        <v>528</v>
      </c>
      <c r="D42" s="498" t="s">
        <v>322</v>
      </c>
      <c r="E42" s="499">
        <v>150.5</v>
      </c>
      <c r="F42" s="503" t="s">
        <v>249</v>
      </c>
      <c r="G42" s="504" t="s">
        <v>250</v>
      </c>
      <c r="H42" s="498" t="s">
        <v>278</v>
      </c>
      <c r="I42" s="505" t="s">
        <v>358</v>
      </c>
      <c r="J42" s="451"/>
      <c r="K42" s="452"/>
      <c r="L42" s="453"/>
    </row>
    <row r="43" spans="1:12" ht="37.5" customHeight="1">
      <c r="A43" s="492">
        <v>41</v>
      </c>
      <c r="B43" s="497">
        <v>42828</v>
      </c>
      <c r="C43" s="498" t="s">
        <v>529</v>
      </c>
      <c r="D43" s="498" t="s">
        <v>322</v>
      </c>
      <c r="E43" s="499">
        <v>350.5</v>
      </c>
      <c r="F43" s="503" t="s">
        <v>249</v>
      </c>
      <c r="G43" s="504" t="s">
        <v>250</v>
      </c>
      <c r="H43" s="498" t="s">
        <v>278</v>
      </c>
      <c r="I43" s="505" t="s">
        <v>358</v>
      </c>
      <c r="J43" s="451"/>
      <c r="K43" s="452"/>
      <c r="L43" s="453"/>
    </row>
    <row r="44" spans="1:12" ht="37.5" customHeight="1">
      <c r="A44" s="492">
        <v>42</v>
      </c>
      <c r="B44" s="497">
        <v>42828</v>
      </c>
      <c r="C44" s="498" t="s">
        <v>530</v>
      </c>
      <c r="D44" s="498" t="s">
        <v>322</v>
      </c>
      <c r="E44" s="499">
        <v>350.5</v>
      </c>
      <c r="F44" s="503" t="s">
        <v>249</v>
      </c>
      <c r="G44" s="504" t="s">
        <v>250</v>
      </c>
      <c r="H44" s="498" t="s">
        <v>278</v>
      </c>
      <c r="I44" s="505" t="s">
        <v>358</v>
      </c>
      <c r="J44" s="451"/>
      <c r="K44" s="452"/>
      <c r="L44" s="453"/>
    </row>
    <row r="45" spans="1:12" ht="37.5" customHeight="1">
      <c r="A45" s="492">
        <v>43</v>
      </c>
      <c r="B45" s="497">
        <v>42828</v>
      </c>
      <c r="C45" s="498" t="s">
        <v>531</v>
      </c>
      <c r="D45" s="498" t="s">
        <v>322</v>
      </c>
      <c r="E45" s="499">
        <v>159.63</v>
      </c>
      <c r="F45" s="442" t="s">
        <v>249</v>
      </c>
      <c r="G45" s="443" t="s">
        <v>250</v>
      </c>
      <c r="H45" s="498" t="s">
        <v>278</v>
      </c>
      <c r="I45" s="505" t="s">
        <v>358</v>
      </c>
      <c r="J45" s="451"/>
      <c r="K45" s="452"/>
      <c r="L45" s="453"/>
    </row>
    <row r="46" spans="1:12" ht="37.5" customHeight="1">
      <c r="A46" s="492">
        <v>44</v>
      </c>
      <c r="B46" s="497">
        <v>42828</v>
      </c>
      <c r="C46" s="498" t="s">
        <v>532</v>
      </c>
      <c r="D46" s="498" t="s">
        <v>322</v>
      </c>
      <c r="E46" s="499">
        <v>350.5</v>
      </c>
      <c r="F46" s="503" t="s">
        <v>249</v>
      </c>
      <c r="G46" s="504" t="s">
        <v>250</v>
      </c>
      <c r="H46" s="498" t="s">
        <v>278</v>
      </c>
      <c r="I46" s="505" t="s">
        <v>358</v>
      </c>
      <c r="J46" s="451"/>
      <c r="K46" s="452"/>
      <c r="L46" s="453"/>
    </row>
    <row r="47" spans="1:12" ht="37.5" customHeight="1">
      <c r="A47" s="492">
        <v>45</v>
      </c>
      <c r="B47" s="497">
        <v>42828</v>
      </c>
      <c r="C47" s="498" t="s">
        <v>533</v>
      </c>
      <c r="D47" s="498" t="s">
        <v>322</v>
      </c>
      <c r="E47" s="499">
        <v>350.5</v>
      </c>
      <c r="F47" s="503" t="s">
        <v>249</v>
      </c>
      <c r="G47" s="504" t="s">
        <v>250</v>
      </c>
      <c r="H47" s="498" t="s">
        <v>278</v>
      </c>
      <c r="I47" s="505" t="s">
        <v>358</v>
      </c>
      <c r="J47" s="451"/>
      <c r="K47" s="452"/>
      <c r="L47" s="453"/>
    </row>
    <row r="48" spans="1:12" ht="37.5" customHeight="1">
      <c r="A48" s="492">
        <v>46</v>
      </c>
      <c r="B48" s="497">
        <v>42828</v>
      </c>
      <c r="C48" s="498" t="s">
        <v>534</v>
      </c>
      <c r="D48" s="498" t="s">
        <v>322</v>
      </c>
      <c r="E48" s="499">
        <v>350.5</v>
      </c>
      <c r="F48" s="442" t="s">
        <v>249</v>
      </c>
      <c r="G48" s="443" t="s">
        <v>250</v>
      </c>
      <c r="H48" s="498" t="s">
        <v>278</v>
      </c>
      <c r="I48" s="505" t="s">
        <v>358</v>
      </c>
      <c r="J48" s="451"/>
      <c r="K48" s="452"/>
      <c r="L48" s="453"/>
    </row>
    <row r="49" spans="1:12" ht="37.5" customHeight="1">
      <c r="A49" s="492">
        <v>47</v>
      </c>
      <c r="B49" s="497">
        <v>42828</v>
      </c>
      <c r="C49" s="498" t="s">
        <v>535</v>
      </c>
      <c r="D49" s="498" t="s">
        <v>322</v>
      </c>
      <c r="E49" s="499">
        <v>158.83</v>
      </c>
      <c r="F49" s="503" t="s">
        <v>249</v>
      </c>
      <c r="G49" s="504" t="s">
        <v>250</v>
      </c>
      <c r="H49" s="498" t="s">
        <v>278</v>
      </c>
      <c r="I49" s="505" t="s">
        <v>358</v>
      </c>
      <c r="J49" s="451"/>
      <c r="K49" s="452"/>
      <c r="L49" s="453"/>
    </row>
    <row r="50" spans="1:12" ht="37.5" customHeight="1">
      <c r="A50" s="492">
        <v>48</v>
      </c>
      <c r="B50" s="497">
        <v>42828</v>
      </c>
      <c r="C50" s="498" t="s">
        <v>536</v>
      </c>
      <c r="D50" s="498" t="s">
        <v>322</v>
      </c>
      <c r="E50" s="499">
        <v>158.83</v>
      </c>
      <c r="F50" s="503" t="s">
        <v>249</v>
      </c>
      <c r="G50" s="504" t="s">
        <v>250</v>
      </c>
      <c r="H50" s="498" t="s">
        <v>278</v>
      </c>
      <c r="I50" s="505" t="s">
        <v>358</v>
      </c>
      <c r="J50" s="451"/>
      <c r="K50" s="452"/>
      <c r="L50" s="453"/>
    </row>
    <row r="51" spans="1:12" ht="37.5" customHeight="1">
      <c r="A51" s="492">
        <v>49</v>
      </c>
      <c r="B51" s="497">
        <v>42828</v>
      </c>
      <c r="C51" s="498" t="s">
        <v>537</v>
      </c>
      <c r="D51" s="498" t="s">
        <v>322</v>
      </c>
      <c r="E51" s="499">
        <v>350.5</v>
      </c>
      <c r="F51" s="442" t="s">
        <v>249</v>
      </c>
      <c r="G51" s="443" t="s">
        <v>250</v>
      </c>
      <c r="H51" s="498" t="s">
        <v>278</v>
      </c>
      <c r="I51" s="505" t="s">
        <v>358</v>
      </c>
      <c r="J51" s="451"/>
      <c r="K51" s="452"/>
      <c r="L51" s="453"/>
    </row>
    <row r="52" spans="1:12" ht="37.5" customHeight="1">
      <c r="A52" s="492">
        <v>50</v>
      </c>
      <c r="B52" s="497">
        <v>42828</v>
      </c>
      <c r="C52" s="498" t="s">
        <v>538</v>
      </c>
      <c r="D52" s="498" t="s">
        <v>322</v>
      </c>
      <c r="E52" s="499">
        <v>350.5</v>
      </c>
      <c r="F52" s="503" t="s">
        <v>249</v>
      </c>
      <c r="G52" s="504" t="s">
        <v>250</v>
      </c>
      <c r="H52" s="498" t="s">
        <v>278</v>
      </c>
      <c r="I52" s="505" t="s">
        <v>358</v>
      </c>
      <c r="J52" s="451"/>
      <c r="K52" s="452"/>
      <c r="L52" s="453"/>
    </row>
    <row r="53" spans="1:12" ht="37.5" customHeight="1">
      <c r="A53" s="492">
        <v>51</v>
      </c>
      <c r="B53" s="497">
        <v>42828</v>
      </c>
      <c r="C53" s="498" t="s">
        <v>539</v>
      </c>
      <c r="D53" s="498" t="s">
        <v>322</v>
      </c>
      <c r="E53" s="499">
        <v>158.03</v>
      </c>
      <c r="F53" s="442" t="s">
        <v>249</v>
      </c>
      <c r="G53" s="443" t="s">
        <v>250</v>
      </c>
      <c r="H53" s="498" t="s">
        <v>278</v>
      </c>
      <c r="I53" s="505" t="s">
        <v>358</v>
      </c>
      <c r="J53" s="451"/>
      <c r="K53" s="452"/>
      <c r="L53" s="453"/>
    </row>
    <row r="54" spans="1:12" ht="37.5" customHeight="1">
      <c r="A54" s="492">
        <v>52</v>
      </c>
      <c r="B54" s="497">
        <v>42828</v>
      </c>
      <c r="C54" s="498" t="s">
        <v>540</v>
      </c>
      <c r="D54" s="498" t="s">
        <v>322</v>
      </c>
      <c r="E54" s="499">
        <v>350.5</v>
      </c>
      <c r="F54" s="442" t="s">
        <v>249</v>
      </c>
      <c r="G54" s="443" t="s">
        <v>250</v>
      </c>
      <c r="H54" s="498" t="s">
        <v>278</v>
      </c>
      <c r="I54" s="505" t="s">
        <v>358</v>
      </c>
      <c r="J54" s="451"/>
      <c r="K54" s="452"/>
      <c r="L54" s="453"/>
    </row>
    <row r="55" spans="1:12" ht="37.5" customHeight="1">
      <c r="A55" s="492">
        <v>53</v>
      </c>
      <c r="B55" s="497">
        <v>42828</v>
      </c>
      <c r="C55" s="498" t="s">
        <v>541</v>
      </c>
      <c r="D55" s="498" t="s">
        <v>322</v>
      </c>
      <c r="E55" s="499">
        <v>150.5</v>
      </c>
      <c r="F55" s="442" t="s">
        <v>249</v>
      </c>
      <c r="G55" s="443" t="s">
        <v>250</v>
      </c>
      <c r="H55" s="498" t="s">
        <v>278</v>
      </c>
      <c r="I55" s="505" t="s">
        <v>358</v>
      </c>
      <c r="J55" s="451"/>
      <c r="K55" s="452"/>
      <c r="L55" s="453"/>
    </row>
    <row r="56" spans="1:12" ht="37.5" customHeight="1">
      <c r="A56" s="492">
        <v>54</v>
      </c>
      <c r="B56" s="497">
        <v>42828</v>
      </c>
      <c r="C56" s="498" t="s">
        <v>542</v>
      </c>
      <c r="D56" s="498" t="s">
        <v>322</v>
      </c>
      <c r="E56" s="499">
        <v>350.5</v>
      </c>
      <c r="F56" s="442" t="s">
        <v>249</v>
      </c>
      <c r="G56" s="443" t="s">
        <v>250</v>
      </c>
      <c r="H56" s="498" t="s">
        <v>278</v>
      </c>
      <c r="I56" s="505" t="s">
        <v>358</v>
      </c>
      <c r="J56" s="451"/>
      <c r="K56" s="452"/>
      <c r="L56" s="453"/>
    </row>
    <row r="57" spans="1:12" ht="37.5" customHeight="1">
      <c r="A57" s="492">
        <v>55</v>
      </c>
      <c r="B57" s="497">
        <v>42828</v>
      </c>
      <c r="C57" s="498" t="s">
        <v>543</v>
      </c>
      <c r="D57" s="498" t="s">
        <v>322</v>
      </c>
      <c r="E57" s="499">
        <v>350.5</v>
      </c>
      <c r="F57" s="442" t="s">
        <v>249</v>
      </c>
      <c r="G57" s="443" t="s">
        <v>250</v>
      </c>
      <c r="H57" s="498" t="s">
        <v>278</v>
      </c>
      <c r="I57" s="505" t="s">
        <v>358</v>
      </c>
      <c r="J57" s="451"/>
      <c r="K57" s="452"/>
      <c r="L57" s="453"/>
    </row>
    <row r="58" spans="1:12" ht="37.5" customHeight="1">
      <c r="A58" s="492">
        <v>56</v>
      </c>
      <c r="B58" s="497">
        <v>42828</v>
      </c>
      <c r="C58" s="498" t="s">
        <v>544</v>
      </c>
      <c r="D58" s="498" t="s">
        <v>322</v>
      </c>
      <c r="E58" s="499">
        <v>744.99</v>
      </c>
      <c r="F58" s="442" t="s">
        <v>249</v>
      </c>
      <c r="G58" s="443" t="s">
        <v>250</v>
      </c>
      <c r="H58" s="498" t="s">
        <v>278</v>
      </c>
      <c r="I58" s="505" t="s">
        <v>358</v>
      </c>
      <c r="J58" s="451"/>
      <c r="K58" s="452"/>
      <c r="L58" s="453"/>
    </row>
    <row r="59" spans="1:12" ht="37.5" customHeight="1">
      <c r="A59" s="492">
        <v>57</v>
      </c>
      <c r="B59" s="497">
        <v>42828</v>
      </c>
      <c r="C59" s="498" t="s">
        <v>545</v>
      </c>
      <c r="D59" s="498" t="s">
        <v>322</v>
      </c>
      <c r="E59" s="499">
        <v>855</v>
      </c>
      <c r="F59" s="442" t="s">
        <v>249</v>
      </c>
      <c r="G59" s="443" t="s">
        <v>250</v>
      </c>
      <c r="H59" s="498" t="s">
        <v>278</v>
      </c>
      <c r="I59" s="505" t="s">
        <v>358</v>
      </c>
      <c r="J59" s="451"/>
      <c r="K59" s="452"/>
      <c r="L59" s="453"/>
    </row>
    <row r="60" spans="1:12" ht="37.5" customHeight="1">
      <c r="A60" s="492">
        <v>58</v>
      </c>
      <c r="B60" s="497">
        <v>42828</v>
      </c>
      <c r="C60" s="498" t="s">
        <v>546</v>
      </c>
      <c r="D60" s="498" t="s">
        <v>638</v>
      </c>
      <c r="E60" s="499">
        <v>350.5</v>
      </c>
      <c r="F60" s="442" t="s">
        <v>249</v>
      </c>
      <c r="G60" s="443" t="s">
        <v>250</v>
      </c>
      <c r="H60" s="498" t="s">
        <v>278</v>
      </c>
      <c r="I60" s="505" t="s">
        <v>358</v>
      </c>
      <c r="J60" s="451">
        <f>'GIORNALE DELLE ENTRATE'!E13</f>
        <v>70</v>
      </c>
      <c r="K60" s="452">
        <f>E60-J60</f>
        <v>280.5</v>
      </c>
      <c r="L60" s="453"/>
    </row>
    <row r="61" spans="1:12" ht="37.5" customHeight="1">
      <c r="A61" s="492">
        <v>59</v>
      </c>
      <c r="B61" s="497">
        <v>42831</v>
      </c>
      <c r="C61" s="498" t="s">
        <v>547</v>
      </c>
      <c r="D61" s="498" t="s">
        <v>322</v>
      </c>
      <c r="E61" s="499">
        <v>489.59</v>
      </c>
      <c r="F61" s="442" t="s">
        <v>249</v>
      </c>
      <c r="G61" s="443" t="s">
        <v>250</v>
      </c>
      <c r="H61" s="498" t="s">
        <v>278</v>
      </c>
      <c r="I61" s="505" t="s">
        <v>358</v>
      </c>
      <c r="J61" s="451"/>
      <c r="K61" s="452"/>
      <c r="L61" s="453"/>
    </row>
    <row r="62" spans="1:12" ht="37.5" customHeight="1">
      <c r="A62" s="492">
        <v>60</v>
      </c>
      <c r="B62" s="497">
        <v>42831</v>
      </c>
      <c r="C62" s="498" t="s">
        <v>548</v>
      </c>
      <c r="D62" s="498" t="s">
        <v>637</v>
      </c>
      <c r="E62" s="499">
        <v>578.5</v>
      </c>
      <c r="F62" s="442" t="s">
        <v>249</v>
      </c>
      <c r="G62" s="443" t="s">
        <v>250</v>
      </c>
      <c r="H62" s="498" t="s">
        <v>278</v>
      </c>
      <c r="I62" s="505" t="s">
        <v>358</v>
      </c>
      <c r="J62" s="451">
        <f>'GIORNALE DELLE ENTRATE'!E14</f>
        <v>115.6</v>
      </c>
      <c r="K62" s="452">
        <f>E62-J62</f>
        <v>462.9</v>
      </c>
      <c r="L62" s="453"/>
    </row>
    <row r="63" spans="1:12" ht="37.5" customHeight="1">
      <c r="A63" s="492">
        <v>61</v>
      </c>
      <c r="B63" s="497">
        <v>42831</v>
      </c>
      <c r="C63" s="498" t="s">
        <v>549</v>
      </c>
      <c r="D63" s="498" t="s">
        <v>322</v>
      </c>
      <c r="E63" s="499">
        <v>892.79</v>
      </c>
      <c r="F63" s="442" t="s">
        <v>249</v>
      </c>
      <c r="G63" s="443" t="s">
        <v>250</v>
      </c>
      <c r="H63" s="498" t="s">
        <v>278</v>
      </c>
      <c r="I63" s="505" t="s">
        <v>358</v>
      </c>
      <c r="J63" s="451"/>
      <c r="K63" s="452"/>
      <c r="L63" s="453"/>
    </row>
    <row r="64" spans="1:12" ht="37.5" customHeight="1">
      <c r="A64" s="492">
        <v>62</v>
      </c>
      <c r="B64" s="497">
        <v>42831</v>
      </c>
      <c r="C64" s="498" t="s">
        <v>550</v>
      </c>
      <c r="D64" s="498" t="s">
        <v>322</v>
      </c>
      <c r="E64" s="499">
        <v>1028.38</v>
      </c>
      <c r="F64" s="442" t="s">
        <v>249</v>
      </c>
      <c r="G64" s="443" t="s">
        <v>250</v>
      </c>
      <c r="H64" s="498" t="s">
        <v>278</v>
      </c>
      <c r="I64" s="505" t="s">
        <v>358</v>
      </c>
      <c r="J64" s="451"/>
      <c r="K64" s="452"/>
      <c r="L64" s="453"/>
    </row>
    <row r="65" spans="1:12" ht="37.5" customHeight="1">
      <c r="A65" s="492">
        <v>63</v>
      </c>
      <c r="B65" s="497">
        <v>42831</v>
      </c>
      <c r="C65" s="498" t="s">
        <v>551</v>
      </c>
      <c r="D65" s="498" t="s">
        <v>322</v>
      </c>
      <c r="E65" s="499">
        <v>355.95</v>
      </c>
      <c r="F65" s="442" t="s">
        <v>249</v>
      </c>
      <c r="G65" s="443" t="s">
        <v>250</v>
      </c>
      <c r="H65" s="498" t="s">
        <v>278</v>
      </c>
      <c r="I65" s="505" t="s">
        <v>358</v>
      </c>
      <c r="J65" s="451"/>
      <c r="K65" s="452"/>
      <c r="L65" s="453"/>
    </row>
    <row r="66" spans="1:12" ht="37.5" customHeight="1">
      <c r="A66" s="492">
        <v>64</v>
      </c>
      <c r="B66" s="497">
        <v>42831</v>
      </c>
      <c r="C66" s="498" t="s">
        <v>552</v>
      </c>
      <c r="D66" s="498" t="s">
        <v>322</v>
      </c>
      <c r="E66" s="499">
        <v>714.5</v>
      </c>
      <c r="F66" s="442" t="s">
        <v>249</v>
      </c>
      <c r="G66" s="443" t="s">
        <v>250</v>
      </c>
      <c r="H66" s="498" t="s">
        <v>278</v>
      </c>
      <c r="I66" s="505" t="s">
        <v>358</v>
      </c>
      <c r="J66" s="451"/>
      <c r="K66" s="452"/>
      <c r="L66" s="453"/>
    </row>
    <row r="67" spans="1:12" ht="37.5" customHeight="1">
      <c r="A67" s="492">
        <v>65</v>
      </c>
      <c r="B67" s="497">
        <v>42831</v>
      </c>
      <c r="C67" s="498" t="s">
        <v>553</v>
      </c>
      <c r="D67" s="498" t="s">
        <v>322</v>
      </c>
      <c r="E67" s="499">
        <v>861.45</v>
      </c>
      <c r="F67" s="442" t="s">
        <v>249</v>
      </c>
      <c r="G67" s="443" t="s">
        <v>250</v>
      </c>
      <c r="H67" s="498" t="s">
        <v>278</v>
      </c>
      <c r="I67" s="505" t="s">
        <v>358</v>
      </c>
      <c r="J67" s="451"/>
      <c r="K67" s="452"/>
      <c r="L67" s="453"/>
    </row>
    <row r="68" spans="1:12" ht="37.5" customHeight="1">
      <c r="A68" s="492">
        <v>66</v>
      </c>
      <c r="B68" s="497">
        <v>42831</v>
      </c>
      <c r="C68" s="498" t="s">
        <v>554</v>
      </c>
      <c r="D68" s="498" t="s">
        <v>322</v>
      </c>
      <c r="E68" s="499">
        <v>659.49</v>
      </c>
      <c r="F68" s="442" t="s">
        <v>249</v>
      </c>
      <c r="G68" s="443" t="s">
        <v>250</v>
      </c>
      <c r="H68" s="498" t="s">
        <v>278</v>
      </c>
      <c r="I68" s="505" t="s">
        <v>358</v>
      </c>
      <c r="J68" s="451"/>
      <c r="K68" s="452"/>
      <c r="L68" s="453"/>
    </row>
    <row r="69" spans="1:12" ht="37.5" customHeight="1">
      <c r="A69" s="492">
        <v>67</v>
      </c>
      <c r="B69" s="497">
        <v>42831</v>
      </c>
      <c r="C69" s="498" t="s">
        <v>555</v>
      </c>
      <c r="D69" s="498" t="s">
        <v>322</v>
      </c>
      <c r="E69" s="499">
        <v>5013.33</v>
      </c>
      <c r="F69" s="442" t="s">
        <v>249</v>
      </c>
      <c r="G69" s="443" t="s">
        <v>250</v>
      </c>
      <c r="H69" s="498" t="s">
        <v>278</v>
      </c>
      <c r="I69" s="505" t="s">
        <v>358</v>
      </c>
      <c r="J69" s="451"/>
      <c r="K69" s="452"/>
      <c r="L69" s="453"/>
    </row>
    <row r="70" spans="1:12" ht="37.5" customHeight="1">
      <c r="A70" s="492">
        <v>68</v>
      </c>
      <c r="B70" s="497">
        <v>42832</v>
      </c>
      <c r="C70" s="498" t="s">
        <v>556</v>
      </c>
      <c r="D70" s="498" t="s">
        <v>600</v>
      </c>
      <c r="E70" s="499">
        <v>2500.5</v>
      </c>
      <c r="F70" s="442" t="s">
        <v>249</v>
      </c>
      <c r="G70" s="443" t="s">
        <v>250</v>
      </c>
      <c r="H70" s="498" t="s">
        <v>278</v>
      </c>
      <c r="I70" s="505" t="s">
        <v>358</v>
      </c>
      <c r="J70" s="451">
        <f>'GIORNALE DELLE ENTRATE'!E16</f>
        <v>500</v>
      </c>
      <c r="K70" s="452">
        <f>E70-J70</f>
        <v>2000.5</v>
      </c>
      <c r="L70" s="453"/>
    </row>
    <row r="71" spans="1:12" ht="37.5" customHeight="1">
      <c r="A71" s="492">
        <v>69</v>
      </c>
      <c r="B71" s="497">
        <v>42835</v>
      </c>
      <c r="C71" s="498" t="s">
        <v>557</v>
      </c>
      <c r="D71" s="498" t="s">
        <v>322</v>
      </c>
      <c r="E71" s="499">
        <v>1021.24</v>
      </c>
      <c r="F71" s="442" t="s">
        <v>249</v>
      </c>
      <c r="G71" s="443" t="s">
        <v>250</v>
      </c>
      <c r="H71" s="498" t="s">
        <v>278</v>
      </c>
      <c r="I71" s="505" t="s">
        <v>358</v>
      </c>
      <c r="J71" s="451"/>
      <c r="K71" s="452"/>
      <c r="L71" s="453"/>
    </row>
    <row r="72" spans="1:12" ht="37.5" customHeight="1">
      <c r="A72" s="492">
        <v>70</v>
      </c>
      <c r="B72" s="497">
        <v>42835</v>
      </c>
      <c r="C72" s="498" t="s">
        <v>558</v>
      </c>
      <c r="D72" s="498" t="s">
        <v>636</v>
      </c>
      <c r="E72" s="499">
        <v>277.1</v>
      </c>
      <c r="F72" s="442" t="s">
        <v>249</v>
      </c>
      <c r="G72" s="443" t="s">
        <v>250</v>
      </c>
      <c r="H72" s="498" t="s">
        <v>278</v>
      </c>
      <c r="I72" s="505" t="s">
        <v>358</v>
      </c>
      <c r="J72" s="451">
        <f>'GIORNALE DELLE ENTRATE'!E17</f>
        <v>55.32</v>
      </c>
      <c r="K72" s="452">
        <f>E72-J72</f>
        <v>221.78000000000003</v>
      </c>
      <c r="L72" s="453"/>
    </row>
    <row r="73" spans="1:12" ht="37.5" customHeight="1">
      <c r="A73" s="492">
        <v>71</v>
      </c>
      <c r="B73" s="497">
        <v>42837</v>
      </c>
      <c r="C73" s="498" t="s">
        <v>559</v>
      </c>
      <c r="D73" s="498" t="s">
        <v>604</v>
      </c>
      <c r="E73" s="499">
        <v>3000.5</v>
      </c>
      <c r="F73" s="442" t="s">
        <v>249</v>
      </c>
      <c r="G73" s="443" t="s">
        <v>250</v>
      </c>
      <c r="H73" s="498" t="s">
        <v>278</v>
      </c>
      <c r="I73" s="505" t="s">
        <v>358</v>
      </c>
      <c r="J73" s="451"/>
      <c r="K73" s="452"/>
      <c r="L73" s="453"/>
    </row>
    <row r="74" spans="1:12" ht="37.5" customHeight="1">
      <c r="A74" s="492">
        <v>72</v>
      </c>
      <c r="B74" s="497">
        <v>42837</v>
      </c>
      <c r="C74" s="498" t="s">
        <v>560</v>
      </c>
      <c r="D74" s="498" t="s">
        <v>322</v>
      </c>
      <c r="E74" s="499">
        <v>667.68</v>
      </c>
      <c r="F74" s="442" t="s">
        <v>249</v>
      </c>
      <c r="G74" s="443" t="s">
        <v>250</v>
      </c>
      <c r="H74" s="498" t="s">
        <v>278</v>
      </c>
      <c r="I74" s="505" t="s">
        <v>358</v>
      </c>
      <c r="J74" s="451"/>
      <c r="K74" s="452"/>
      <c r="L74" s="453"/>
    </row>
    <row r="75" spans="1:12" ht="37.5" customHeight="1">
      <c r="A75" s="492">
        <v>73</v>
      </c>
      <c r="B75" s="497">
        <v>42837</v>
      </c>
      <c r="C75" s="498" t="s">
        <v>561</v>
      </c>
      <c r="D75" s="498" t="s">
        <v>322</v>
      </c>
      <c r="E75" s="499">
        <v>730.22</v>
      </c>
      <c r="F75" s="442" t="s">
        <v>249</v>
      </c>
      <c r="G75" s="443" t="s">
        <v>250</v>
      </c>
      <c r="H75" s="498" t="s">
        <v>278</v>
      </c>
      <c r="I75" s="505" t="s">
        <v>358</v>
      </c>
      <c r="J75" s="451"/>
      <c r="K75" s="452"/>
      <c r="L75" s="453"/>
    </row>
    <row r="76" spans="1:12" ht="37.5" customHeight="1">
      <c r="A76" s="492">
        <v>74</v>
      </c>
      <c r="B76" s="497">
        <v>42838</v>
      </c>
      <c r="C76" s="498" t="s">
        <v>562</v>
      </c>
      <c r="D76" s="498" t="s">
        <v>322</v>
      </c>
      <c r="E76" s="499">
        <v>556.12</v>
      </c>
      <c r="F76" s="442" t="s">
        <v>249</v>
      </c>
      <c r="G76" s="443" t="s">
        <v>250</v>
      </c>
      <c r="H76" s="498" t="s">
        <v>278</v>
      </c>
      <c r="I76" s="505" t="s">
        <v>358</v>
      </c>
      <c r="J76" s="451"/>
      <c r="K76" s="452"/>
      <c r="L76" s="453"/>
    </row>
    <row r="77" spans="1:12" ht="37.5" customHeight="1">
      <c r="A77" s="492">
        <v>75</v>
      </c>
      <c r="B77" s="497">
        <v>42838</v>
      </c>
      <c r="C77" s="498" t="s">
        <v>563</v>
      </c>
      <c r="D77" s="498" t="s">
        <v>322</v>
      </c>
      <c r="E77" s="499">
        <v>789.5</v>
      </c>
      <c r="F77" s="442" t="s">
        <v>249</v>
      </c>
      <c r="G77" s="443" t="s">
        <v>250</v>
      </c>
      <c r="H77" s="498" t="s">
        <v>278</v>
      </c>
      <c r="I77" s="505" t="s">
        <v>358</v>
      </c>
      <c r="J77" s="451"/>
      <c r="K77" s="452"/>
      <c r="L77" s="453"/>
    </row>
    <row r="78" spans="1:12" ht="37.5" customHeight="1">
      <c r="A78" s="492">
        <v>76</v>
      </c>
      <c r="B78" s="497">
        <v>42838</v>
      </c>
      <c r="C78" s="498" t="s">
        <v>564</v>
      </c>
      <c r="D78" s="498" t="s">
        <v>322</v>
      </c>
      <c r="E78" s="499">
        <v>787.5</v>
      </c>
      <c r="F78" s="442" t="s">
        <v>249</v>
      </c>
      <c r="G78" s="443" t="s">
        <v>250</v>
      </c>
      <c r="H78" s="498" t="s">
        <v>278</v>
      </c>
      <c r="I78" s="505" t="s">
        <v>358</v>
      </c>
      <c r="J78" s="451"/>
      <c r="K78" s="452"/>
      <c r="L78" s="453"/>
    </row>
    <row r="79" spans="1:12" ht="37.5" customHeight="1">
      <c r="A79" s="492">
        <v>77</v>
      </c>
      <c r="B79" s="497">
        <v>42838</v>
      </c>
      <c r="C79" s="498" t="s">
        <v>565</v>
      </c>
      <c r="D79" s="498" t="s">
        <v>322</v>
      </c>
      <c r="E79" s="499">
        <v>765.1</v>
      </c>
      <c r="F79" s="442" t="s">
        <v>249</v>
      </c>
      <c r="G79" s="443" t="s">
        <v>250</v>
      </c>
      <c r="H79" s="498" t="s">
        <v>278</v>
      </c>
      <c r="I79" s="505" t="s">
        <v>358</v>
      </c>
      <c r="J79" s="451"/>
      <c r="K79" s="452"/>
      <c r="L79" s="453"/>
    </row>
    <row r="80" spans="1:12" ht="37.5" customHeight="1">
      <c r="A80" s="492">
        <v>78</v>
      </c>
      <c r="B80" s="497">
        <v>42838</v>
      </c>
      <c r="C80" s="498" t="s">
        <v>566</v>
      </c>
      <c r="D80" s="498" t="s">
        <v>322</v>
      </c>
      <c r="E80" s="499">
        <v>793.93</v>
      </c>
      <c r="F80" s="442" t="s">
        <v>249</v>
      </c>
      <c r="G80" s="443" t="s">
        <v>250</v>
      </c>
      <c r="H80" s="498" t="s">
        <v>278</v>
      </c>
      <c r="I80" s="505" t="s">
        <v>358</v>
      </c>
      <c r="J80" s="451"/>
      <c r="K80" s="452"/>
      <c r="L80" s="453"/>
    </row>
    <row r="81" spans="1:12" ht="37.5" customHeight="1">
      <c r="A81" s="492">
        <v>79</v>
      </c>
      <c r="B81" s="497">
        <v>42838</v>
      </c>
      <c r="C81" s="498" t="s">
        <v>567</v>
      </c>
      <c r="D81" s="498" t="s">
        <v>322</v>
      </c>
      <c r="E81" s="499">
        <v>621.78</v>
      </c>
      <c r="F81" s="442" t="s">
        <v>249</v>
      </c>
      <c r="G81" s="443" t="s">
        <v>250</v>
      </c>
      <c r="H81" s="498" t="s">
        <v>278</v>
      </c>
      <c r="I81" s="505" t="s">
        <v>358</v>
      </c>
      <c r="J81" s="451"/>
      <c r="K81" s="452"/>
      <c r="L81" s="453"/>
    </row>
    <row r="82" spans="1:12" ht="37.5" customHeight="1">
      <c r="A82" s="492">
        <v>80</v>
      </c>
      <c r="B82" s="497">
        <v>42838</v>
      </c>
      <c r="C82" s="498" t="s">
        <v>568</v>
      </c>
      <c r="D82" s="498" t="s">
        <v>322</v>
      </c>
      <c r="E82" s="499">
        <v>700.83</v>
      </c>
      <c r="F82" s="442" t="s">
        <v>249</v>
      </c>
      <c r="G82" s="443" t="s">
        <v>250</v>
      </c>
      <c r="H82" s="498" t="s">
        <v>278</v>
      </c>
      <c r="I82" s="505" t="s">
        <v>358</v>
      </c>
      <c r="J82" s="451"/>
      <c r="K82" s="452"/>
      <c r="L82" s="453"/>
    </row>
    <row r="83" spans="1:12" ht="37.5" customHeight="1">
      <c r="A83" s="492">
        <v>81</v>
      </c>
      <c r="B83" s="497">
        <v>42838</v>
      </c>
      <c r="C83" s="498" t="s">
        <v>569</v>
      </c>
      <c r="D83" s="498" t="s">
        <v>322</v>
      </c>
      <c r="E83" s="499">
        <v>1674.33</v>
      </c>
      <c r="F83" s="442" t="s">
        <v>249</v>
      </c>
      <c r="G83" s="443" t="s">
        <v>250</v>
      </c>
      <c r="H83" s="498" t="s">
        <v>278</v>
      </c>
      <c r="I83" s="505" t="s">
        <v>358</v>
      </c>
      <c r="J83" s="451"/>
      <c r="K83" s="452"/>
      <c r="L83" s="453"/>
    </row>
    <row r="84" spans="1:12" ht="37.5" customHeight="1">
      <c r="A84" s="492">
        <v>82</v>
      </c>
      <c r="B84" s="497">
        <v>42838</v>
      </c>
      <c r="C84" s="498" t="s">
        <v>570</v>
      </c>
      <c r="D84" s="498" t="s">
        <v>322</v>
      </c>
      <c r="E84" s="499">
        <v>895.37</v>
      </c>
      <c r="F84" s="442" t="s">
        <v>249</v>
      </c>
      <c r="G84" s="443" t="s">
        <v>250</v>
      </c>
      <c r="H84" s="498" t="s">
        <v>278</v>
      </c>
      <c r="I84" s="505" t="s">
        <v>358</v>
      </c>
      <c r="J84" s="451"/>
      <c r="K84" s="452"/>
      <c r="L84" s="453"/>
    </row>
    <row r="85" spans="1:12" ht="37.5" customHeight="1">
      <c r="A85" s="492">
        <v>83</v>
      </c>
      <c r="B85" s="497">
        <v>42838</v>
      </c>
      <c r="C85" s="498" t="s">
        <v>571</v>
      </c>
      <c r="D85" s="498" t="s">
        <v>322</v>
      </c>
      <c r="E85" s="499">
        <v>705.83</v>
      </c>
      <c r="F85" s="442" t="s">
        <v>249</v>
      </c>
      <c r="G85" s="443" t="s">
        <v>250</v>
      </c>
      <c r="H85" s="498" t="s">
        <v>278</v>
      </c>
      <c r="I85" s="505" t="s">
        <v>358</v>
      </c>
      <c r="J85" s="451"/>
      <c r="K85" s="452"/>
      <c r="L85" s="453"/>
    </row>
    <row r="86" spans="1:12" ht="37.5" customHeight="1">
      <c r="A86" s="492">
        <v>84</v>
      </c>
      <c r="B86" s="497">
        <v>42839</v>
      </c>
      <c r="C86" s="498" t="s">
        <v>572</v>
      </c>
      <c r="D86" s="498" t="s">
        <v>322</v>
      </c>
      <c r="E86" s="499">
        <v>785.19</v>
      </c>
      <c r="F86" s="442" t="s">
        <v>249</v>
      </c>
      <c r="G86" s="443" t="s">
        <v>250</v>
      </c>
      <c r="H86" s="498" t="s">
        <v>278</v>
      </c>
      <c r="I86" s="505" t="s">
        <v>358</v>
      </c>
      <c r="J86" s="451"/>
      <c r="K86" s="452"/>
      <c r="L86" s="453"/>
    </row>
    <row r="87" spans="1:12" ht="37.5" customHeight="1">
      <c r="A87" s="492">
        <v>85</v>
      </c>
      <c r="B87" s="493">
        <v>42843</v>
      </c>
      <c r="C87" s="494" t="s">
        <v>633</v>
      </c>
      <c r="D87" s="494" t="s">
        <v>280</v>
      </c>
      <c r="E87" s="495">
        <v>500</v>
      </c>
      <c r="F87" s="436" t="s">
        <v>79</v>
      </c>
      <c r="G87" s="436" t="s">
        <v>0</v>
      </c>
      <c r="H87" s="436" t="s">
        <v>278</v>
      </c>
      <c r="I87" s="436" t="s">
        <v>358</v>
      </c>
      <c r="J87" s="409"/>
      <c r="K87" s="410"/>
      <c r="L87" s="411"/>
    </row>
    <row r="88" spans="1:12" ht="37.5" customHeight="1">
      <c r="A88" s="492">
        <v>86</v>
      </c>
      <c r="B88" s="493">
        <v>42843</v>
      </c>
      <c r="C88" s="494" t="s">
        <v>504</v>
      </c>
      <c r="D88" s="494" t="s">
        <v>301</v>
      </c>
      <c r="E88" s="495">
        <v>15000</v>
      </c>
      <c r="F88" s="436" t="s">
        <v>54</v>
      </c>
      <c r="G88" s="436" t="s">
        <v>259</v>
      </c>
      <c r="H88" s="436" t="s">
        <v>278</v>
      </c>
      <c r="I88" s="436" t="s">
        <v>301</v>
      </c>
      <c r="J88" s="409"/>
      <c r="K88" s="410"/>
      <c r="L88" s="411"/>
    </row>
    <row r="89" spans="1:12" ht="37.5" customHeight="1">
      <c r="A89" s="492">
        <v>87</v>
      </c>
      <c r="B89" s="493">
        <v>42843</v>
      </c>
      <c r="C89" s="494" t="s">
        <v>722</v>
      </c>
      <c r="D89" s="494" t="s">
        <v>268</v>
      </c>
      <c r="E89" s="495">
        <v>100505.54</v>
      </c>
      <c r="F89" s="436" t="s">
        <v>249</v>
      </c>
      <c r="G89" s="436" t="s">
        <v>250</v>
      </c>
      <c r="H89" s="436" t="s">
        <v>278</v>
      </c>
      <c r="I89" s="436" t="s">
        <v>697</v>
      </c>
      <c r="J89" s="409"/>
      <c r="K89" s="410"/>
      <c r="L89" s="411"/>
    </row>
    <row r="90" spans="1:12" ht="37.5" customHeight="1">
      <c r="A90" s="492">
        <v>88</v>
      </c>
      <c r="B90" s="497">
        <v>42843</v>
      </c>
      <c r="C90" s="498" t="s">
        <v>573</v>
      </c>
      <c r="D90" s="498" t="s">
        <v>322</v>
      </c>
      <c r="E90" s="499">
        <v>743.36</v>
      </c>
      <c r="F90" s="442" t="s">
        <v>249</v>
      </c>
      <c r="G90" s="443" t="s">
        <v>250</v>
      </c>
      <c r="H90" s="498" t="s">
        <v>278</v>
      </c>
      <c r="I90" s="505" t="s">
        <v>358</v>
      </c>
      <c r="J90" s="451"/>
      <c r="K90" s="452"/>
      <c r="L90" s="453"/>
    </row>
    <row r="91" spans="1:12" ht="37.5" customHeight="1">
      <c r="A91" s="492">
        <v>89</v>
      </c>
      <c r="B91" s="497">
        <v>42843</v>
      </c>
      <c r="C91" s="498" t="s">
        <v>574</v>
      </c>
      <c r="D91" s="498" t="s">
        <v>322</v>
      </c>
      <c r="E91" s="499">
        <v>1000.5</v>
      </c>
      <c r="F91" s="442" t="s">
        <v>249</v>
      </c>
      <c r="G91" s="443" t="s">
        <v>250</v>
      </c>
      <c r="H91" s="498" t="s">
        <v>278</v>
      </c>
      <c r="I91" s="505" t="s">
        <v>358</v>
      </c>
      <c r="J91" s="451"/>
      <c r="K91" s="452"/>
      <c r="L91" s="453"/>
    </row>
    <row r="92" spans="1:12" ht="37.5" customHeight="1">
      <c r="A92" s="492">
        <v>90</v>
      </c>
      <c r="B92" s="497">
        <v>42843</v>
      </c>
      <c r="C92" s="498" t="s">
        <v>575</v>
      </c>
      <c r="D92" s="498" t="s">
        <v>322</v>
      </c>
      <c r="E92" s="499">
        <v>534.5</v>
      </c>
      <c r="F92" s="442" t="s">
        <v>249</v>
      </c>
      <c r="G92" s="443" t="s">
        <v>250</v>
      </c>
      <c r="H92" s="498" t="s">
        <v>278</v>
      </c>
      <c r="I92" s="505" t="s">
        <v>358</v>
      </c>
      <c r="J92" s="451"/>
      <c r="K92" s="452"/>
      <c r="L92" s="453"/>
    </row>
    <row r="93" spans="1:12" ht="37.5" customHeight="1">
      <c r="A93" s="492">
        <v>91</v>
      </c>
      <c r="B93" s="497">
        <v>42843</v>
      </c>
      <c r="C93" s="498" t="s">
        <v>576</v>
      </c>
      <c r="D93" s="498" t="s">
        <v>322</v>
      </c>
      <c r="E93" s="499">
        <v>791.23</v>
      </c>
      <c r="F93" s="442" t="s">
        <v>249</v>
      </c>
      <c r="G93" s="443" t="s">
        <v>250</v>
      </c>
      <c r="H93" s="498" t="s">
        <v>278</v>
      </c>
      <c r="I93" s="505" t="s">
        <v>358</v>
      </c>
      <c r="J93" s="451"/>
      <c r="K93" s="452"/>
      <c r="L93" s="453"/>
    </row>
    <row r="94" spans="1:12" ht="37.5" customHeight="1">
      <c r="A94" s="492">
        <v>92</v>
      </c>
      <c r="B94" s="497">
        <v>42843</v>
      </c>
      <c r="C94" s="498" t="s">
        <v>577</v>
      </c>
      <c r="D94" s="498" t="s">
        <v>322</v>
      </c>
      <c r="E94" s="499">
        <v>706.59</v>
      </c>
      <c r="F94" s="442" t="s">
        <v>249</v>
      </c>
      <c r="G94" s="443" t="s">
        <v>250</v>
      </c>
      <c r="H94" s="498" t="s">
        <v>278</v>
      </c>
      <c r="I94" s="505" t="s">
        <v>358</v>
      </c>
      <c r="J94" s="451"/>
      <c r="K94" s="452"/>
      <c r="L94" s="453"/>
    </row>
    <row r="95" spans="1:12" ht="37.5" customHeight="1">
      <c r="A95" s="492">
        <v>93</v>
      </c>
      <c r="B95" s="497">
        <v>42843</v>
      </c>
      <c r="C95" s="498" t="s">
        <v>578</v>
      </c>
      <c r="D95" s="498" t="s">
        <v>322</v>
      </c>
      <c r="E95" s="499">
        <v>658.99</v>
      </c>
      <c r="F95" s="442" t="s">
        <v>249</v>
      </c>
      <c r="G95" s="443" t="s">
        <v>250</v>
      </c>
      <c r="H95" s="498" t="s">
        <v>278</v>
      </c>
      <c r="I95" s="505" t="s">
        <v>358</v>
      </c>
      <c r="J95" s="451"/>
      <c r="K95" s="452"/>
      <c r="L95" s="453"/>
    </row>
    <row r="96" spans="1:12" ht="37.5" customHeight="1">
      <c r="A96" s="492">
        <v>94</v>
      </c>
      <c r="B96" s="497">
        <v>42843</v>
      </c>
      <c r="C96" s="498" t="s">
        <v>579</v>
      </c>
      <c r="D96" s="498" t="s">
        <v>322</v>
      </c>
      <c r="E96" s="499">
        <v>690.38</v>
      </c>
      <c r="F96" s="442" t="s">
        <v>249</v>
      </c>
      <c r="G96" s="443" t="s">
        <v>250</v>
      </c>
      <c r="H96" s="498" t="s">
        <v>278</v>
      </c>
      <c r="I96" s="505" t="s">
        <v>358</v>
      </c>
      <c r="J96" s="451"/>
      <c r="K96" s="452"/>
      <c r="L96" s="453"/>
    </row>
    <row r="97" spans="1:12" ht="37.5" customHeight="1">
      <c r="A97" s="492">
        <v>95</v>
      </c>
      <c r="B97" s="497">
        <v>42844</v>
      </c>
      <c r="C97" s="498" t="s">
        <v>580</v>
      </c>
      <c r="D97" s="498" t="s">
        <v>322</v>
      </c>
      <c r="E97" s="499">
        <v>835.38</v>
      </c>
      <c r="F97" s="442" t="s">
        <v>249</v>
      </c>
      <c r="G97" s="443" t="s">
        <v>250</v>
      </c>
      <c r="H97" s="498" t="s">
        <v>278</v>
      </c>
      <c r="I97" s="505" t="s">
        <v>358</v>
      </c>
      <c r="J97" s="451"/>
      <c r="K97" s="452"/>
      <c r="L97" s="453"/>
    </row>
    <row r="98" spans="1:12" ht="37.5" customHeight="1">
      <c r="A98" s="492">
        <v>96</v>
      </c>
      <c r="B98" s="497">
        <v>42844</v>
      </c>
      <c r="C98" s="498" t="s">
        <v>581</v>
      </c>
      <c r="D98" s="498" t="s">
        <v>322</v>
      </c>
      <c r="E98" s="499">
        <v>674.31</v>
      </c>
      <c r="F98" s="442" t="s">
        <v>249</v>
      </c>
      <c r="G98" s="443" t="s">
        <v>250</v>
      </c>
      <c r="H98" s="498" t="s">
        <v>278</v>
      </c>
      <c r="I98" s="505" t="s">
        <v>358</v>
      </c>
      <c r="J98" s="451"/>
      <c r="K98" s="452"/>
      <c r="L98" s="453"/>
    </row>
    <row r="99" spans="1:12" ht="37.5" customHeight="1">
      <c r="A99" s="492">
        <v>97</v>
      </c>
      <c r="B99" s="506">
        <v>42855</v>
      </c>
      <c r="C99" s="501" t="s">
        <v>731</v>
      </c>
      <c r="D99" s="501" t="s">
        <v>732</v>
      </c>
      <c r="E99" s="502">
        <v>4</v>
      </c>
      <c r="F99" s="569" t="s">
        <v>375</v>
      </c>
      <c r="G99" s="569" t="s">
        <v>233</v>
      </c>
      <c r="H99" s="569" t="s">
        <v>278</v>
      </c>
      <c r="I99" s="569" t="s">
        <v>308</v>
      </c>
      <c r="J99" s="509"/>
      <c r="K99" s="510"/>
      <c r="L99" s="511"/>
    </row>
    <row r="100" spans="1:12" ht="37.5" customHeight="1">
      <c r="A100" s="492">
        <v>98</v>
      </c>
      <c r="B100" s="493">
        <v>42857</v>
      </c>
      <c r="C100" s="494" t="s">
        <v>506</v>
      </c>
      <c r="D100" s="494" t="s">
        <v>277</v>
      </c>
      <c r="E100" s="495">
        <v>6.95</v>
      </c>
      <c r="F100" s="436" t="s">
        <v>375</v>
      </c>
      <c r="G100" s="436" t="s">
        <v>233</v>
      </c>
      <c r="H100" s="436" t="s">
        <v>278</v>
      </c>
      <c r="I100" s="436" t="s">
        <v>308</v>
      </c>
      <c r="J100" s="409"/>
      <c r="K100" s="410"/>
      <c r="L100" s="411"/>
    </row>
    <row r="101" spans="1:12" ht="37.5" customHeight="1">
      <c r="A101" s="492">
        <v>99</v>
      </c>
      <c r="B101" s="493">
        <v>42857</v>
      </c>
      <c r="C101" s="494" t="s">
        <v>507</v>
      </c>
      <c r="D101" s="494" t="s">
        <v>599</v>
      </c>
      <c r="E101" s="495">
        <v>200</v>
      </c>
      <c r="F101" s="436" t="s">
        <v>207</v>
      </c>
      <c r="G101" s="436" t="s">
        <v>208</v>
      </c>
      <c r="H101" s="436" t="s">
        <v>278</v>
      </c>
      <c r="I101" s="436" t="s">
        <v>429</v>
      </c>
      <c r="J101" s="409"/>
      <c r="K101" s="410"/>
      <c r="L101" s="411"/>
    </row>
    <row r="102" spans="1:12" ht="37.5" customHeight="1">
      <c r="A102" s="492">
        <v>100</v>
      </c>
      <c r="B102" s="497">
        <v>42857</v>
      </c>
      <c r="C102" s="498" t="s">
        <v>582</v>
      </c>
      <c r="D102" s="498" t="s">
        <v>277</v>
      </c>
      <c r="E102" s="499">
        <v>7</v>
      </c>
      <c r="F102" s="500" t="s">
        <v>375</v>
      </c>
      <c r="G102" s="500" t="s">
        <v>233</v>
      </c>
      <c r="H102" s="498" t="s">
        <v>278</v>
      </c>
      <c r="I102" s="505" t="s">
        <v>358</v>
      </c>
      <c r="J102" s="451"/>
      <c r="K102" s="452"/>
      <c r="L102" s="453"/>
    </row>
    <row r="103" spans="1:12" ht="37.5" customHeight="1">
      <c r="A103" s="492">
        <v>101</v>
      </c>
      <c r="B103" s="497">
        <v>42857</v>
      </c>
      <c r="C103" s="498" t="s">
        <v>583</v>
      </c>
      <c r="D103" s="498" t="s">
        <v>322</v>
      </c>
      <c r="E103" s="499">
        <v>766.97</v>
      </c>
      <c r="F103" s="442" t="s">
        <v>249</v>
      </c>
      <c r="G103" s="443" t="s">
        <v>250</v>
      </c>
      <c r="H103" s="498" t="s">
        <v>278</v>
      </c>
      <c r="I103" s="505" t="s">
        <v>358</v>
      </c>
      <c r="J103" s="451"/>
      <c r="K103" s="452"/>
      <c r="L103" s="453"/>
    </row>
    <row r="104" spans="1:12" ht="37.5" customHeight="1">
      <c r="A104" s="492">
        <v>102</v>
      </c>
      <c r="B104" s="497">
        <v>42857</v>
      </c>
      <c r="C104" s="498" t="s">
        <v>584</v>
      </c>
      <c r="D104" s="498" t="s">
        <v>322</v>
      </c>
      <c r="E104" s="499">
        <v>53.06</v>
      </c>
      <c r="F104" s="442" t="s">
        <v>249</v>
      </c>
      <c r="G104" s="443" t="s">
        <v>250</v>
      </c>
      <c r="H104" s="498" t="s">
        <v>278</v>
      </c>
      <c r="I104" s="505" t="s">
        <v>358</v>
      </c>
      <c r="J104" s="451"/>
      <c r="K104" s="452"/>
      <c r="L104" s="453"/>
    </row>
    <row r="105" spans="1:12" ht="37.5" customHeight="1">
      <c r="A105" s="492">
        <v>103</v>
      </c>
      <c r="B105" s="497">
        <v>42857</v>
      </c>
      <c r="C105" s="498" t="s">
        <v>585</v>
      </c>
      <c r="D105" s="498" t="s">
        <v>322</v>
      </c>
      <c r="E105" s="499">
        <v>158.83</v>
      </c>
      <c r="F105" s="442" t="s">
        <v>249</v>
      </c>
      <c r="G105" s="443" t="s">
        <v>250</v>
      </c>
      <c r="H105" s="498" t="s">
        <v>278</v>
      </c>
      <c r="I105" s="505" t="s">
        <v>358</v>
      </c>
      <c r="J105" s="451"/>
      <c r="K105" s="452"/>
      <c r="L105" s="453"/>
    </row>
    <row r="106" spans="1:12" ht="37.5" customHeight="1">
      <c r="A106" s="492">
        <v>104</v>
      </c>
      <c r="B106" s="497">
        <v>42857</v>
      </c>
      <c r="C106" s="498" t="s">
        <v>586</v>
      </c>
      <c r="D106" s="498" t="s">
        <v>322</v>
      </c>
      <c r="E106" s="499">
        <v>189</v>
      </c>
      <c r="F106" s="442" t="s">
        <v>249</v>
      </c>
      <c r="G106" s="443" t="s">
        <v>250</v>
      </c>
      <c r="H106" s="498" t="s">
        <v>278</v>
      </c>
      <c r="I106" s="505" t="s">
        <v>358</v>
      </c>
      <c r="J106" s="451"/>
      <c r="K106" s="452"/>
      <c r="L106" s="453"/>
    </row>
    <row r="107" spans="1:12" ht="37.5" customHeight="1">
      <c r="A107" s="492">
        <v>105</v>
      </c>
      <c r="B107" s="493">
        <v>42863</v>
      </c>
      <c r="C107" s="494" t="s">
        <v>508</v>
      </c>
      <c r="D107" s="494" t="s">
        <v>594</v>
      </c>
      <c r="E107" s="495">
        <v>638.67</v>
      </c>
      <c r="F107" s="436" t="s">
        <v>207</v>
      </c>
      <c r="G107" s="436" t="s">
        <v>208</v>
      </c>
      <c r="H107" s="436" t="s">
        <v>278</v>
      </c>
      <c r="I107" s="436" t="s">
        <v>625</v>
      </c>
      <c r="J107" s="409"/>
      <c r="K107" s="410"/>
      <c r="L107" s="411"/>
    </row>
    <row r="108" spans="1:12" ht="37.5" customHeight="1">
      <c r="A108" s="492">
        <v>106</v>
      </c>
      <c r="B108" s="497">
        <v>42864</v>
      </c>
      <c r="C108" s="498" t="s">
        <v>587</v>
      </c>
      <c r="D108" s="498" t="s">
        <v>322</v>
      </c>
      <c r="E108" s="499">
        <v>51.5</v>
      </c>
      <c r="F108" s="442" t="s">
        <v>249</v>
      </c>
      <c r="G108" s="443" t="s">
        <v>250</v>
      </c>
      <c r="H108" s="498" t="s">
        <v>278</v>
      </c>
      <c r="I108" s="505" t="s">
        <v>358</v>
      </c>
      <c r="J108" s="451"/>
      <c r="K108" s="452"/>
      <c r="L108" s="453"/>
    </row>
    <row r="109" spans="1:12" ht="37.5" customHeight="1">
      <c r="A109" s="492">
        <v>107</v>
      </c>
      <c r="B109" s="497">
        <v>42871</v>
      </c>
      <c r="C109" s="498" t="s">
        <v>635</v>
      </c>
      <c r="D109" s="498" t="s">
        <v>280</v>
      </c>
      <c r="E109" s="499">
        <v>55.32</v>
      </c>
      <c r="F109" s="500" t="s">
        <v>79</v>
      </c>
      <c r="G109" s="500" t="s">
        <v>0</v>
      </c>
      <c r="H109" s="498" t="s">
        <v>278</v>
      </c>
      <c r="I109" s="505" t="s">
        <v>358</v>
      </c>
      <c r="J109" s="451"/>
      <c r="K109" s="452"/>
      <c r="L109" s="453"/>
    </row>
    <row r="110" spans="1:12" ht="37.5" customHeight="1">
      <c r="A110" s="492">
        <v>108</v>
      </c>
      <c r="B110" s="497">
        <v>42871</v>
      </c>
      <c r="C110" s="498" t="s">
        <v>634</v>
      </c>
      <c r="D110" s="498" t="s">
        <v>280</v>
      </c>
      <c r="E110" s="499">
        <v>685.6</v>
      </c>
      <c r="F110" s="500" t="s">
        <v>79</v>
      </c>
      <c r="G110" s="500" t="s">
        <v>0</v>
      </c>
      <c r="H110" s="498" t="s">
        <v>278</v>
      </c>
      <c r="I110" s="505" t="s">
        <v>358</v>
      </c>
      <c r="J110" s="451"/>
      <c r="K110" s="452"/>
      <c r="L110" s="453"/>
    </row>
    <row r="111" spans="1:12" ht="37.5" customHeight="1">
      <c r="A111" s="492">
        <v>109</v>
      </c>
      <c r="B111" s="493">
        <v>42874</v>
      </c>
      <c r="C111" s="494" t="s">
        <v>509</v>
      </c>
      <c r="D111" s="494" t="s">
        <v>596</v>
      </c>
      <c r="E111" s="495">
        <v>2500</v>
      </c>
      <c r="F111" s="436" t="s">
        <v>52</v>
      </c>
      <c r="G111" s="436" t="s">
        <v>126</v>
      </c>
      <c r="H111" s="436" t="s">
        <v>278</v>
      </c>
      <c r="I111" s="436" t="s">
        <v>358</v>
      </c>
      <c r="J111" s="409">
        <f>'GIORNALE DELLE ENTRATE'!E21</f>
        <v>500</v>
      </c>
      <c r="K111" s="410">
        <f>E111-J111</f>
        <v>2000</v>
      </c>
      <c r="L111" s="411"/>
    </row>
    <row r="112" spans="1:12" ht="37.5" customHeight="1">
      <c r="A112" s="492">
        <v>110</v>
      </c>
      <c r="B112" s="506">
        <v>42885</v>
      </c>
      <c r="C112" s="501" t="s">
        <v>733</v>
      </c>
      <c r="D112" s="501" t="s">
        <v>732</v>
      </c>
      <c r="E112" s="502">
        <v>4</v>
      </c>
      <c r="F112" s="569" t="s">
        <v>375</v>
      </c>
      <c r="G112" s="569" t="s">
        <v>233</v>
      </c>
      <c r="H112" s="569" t="s">
        <v>278</v>
      </c>
      <c r="I112" s="569" t="s">
        <v>308</v>
      </c>
      <c r="J112" s="509"/>
      <c r="K112" s="510"/>
      <c r="L112" s="511"/>
    </row>
    <row r="113" spans="1:12" ht="37.5" customHeight="1">
      <c r="A113" s="492">
        <v>111</v>
      </c>
      <c r="B113" s="493">
        <v>42887</v>
      </c>
      <c r="C113" s="494" t="s">
        <v>510</v>
      </c>
      <c r="D113" s="494" t="s">
        <v>277</v>
      </c>
      <c r="E113" s="495">
        <v>6.95</v>
      </c>
      <c r="F113" s="436" t="s">
        <v>375</v>
      </c>
      <c r="G113" s="436" t="s">
        <v>233</v>
      </c>
      <c r="H113" s="436" t="s">
        <v>278</v>
      </c>
      <c r="I113" s="436" t="s">
        <v>308</v>
      </c>
      <c r="J113" s="409"/>
      <c r="K113" s="410"/>
      <c r="L113" s="411"/>
    </row>
    <row r="114" spans="1:12" ht="37.5" customHeight="1">
      <c r="A114" s="492">
        <v>112</v>
      </c>
      <c r="B114" s="497">
        <v>42887</v>
      </c>
      <c r="C114" s="498" t="s">
        <v>588</v>
      </c>
      <c r="D114" s="498" t="s">
        <v>277</v>
      </c>
      <c r="E114" s="499">
        <v>7</v>
      </c>
      <c r="F114" s="500" t="s">
        <v>375</v>
      </c>
      <c r="G114" s="500" t="s">
        <v>233</v>
      </c>
      <c r="H114" s="498" t="s">
        <v>278</v>
      </c>
      <c r="I114" s="505" t="s">
        <v>358</v>
      </c>
      <c r="J114" s="451"/>
      <c r="K114" s="452"/>
      <c r="L114" s="453"/>
    </row>
    <row r="115" spans="1:12" ht="37.5" customHeight="1">
      <c r="A115" s="492">
        <v>113</v>
      </c>
      <c r="B115" s="493">
        <v>42902</v>
      </c>
      <c r="C115" s="494" t="s">
        <v>633</v>
      </c>
      <c r="D115" s="494" t="s">
        <v>280</v>
      </c>
      <c r="E115" s="495">
        <v>500</v>
      </c>
      <c r="F115" s="436" t="s">
        <v>79</v>
      </c>
      <c r="G115" s="436" t="s">
        <v>0</v>
      </c>
      <c r="H115" s="436" t="s">
        <v>278</v>
      </c>
      <c r="I115" s="436" t="s">
        <v>358</v>
      </c>
      <c r="J115" s="409"/>
      <c r="K115" s="410"/>
      <c r="L115" s="411"/>
    </row>
    <row r="116" spans="1:12" ht="37.5" customHeight="1">
      <c r="A116" s="492">
        <v>114</v>
      </c>
      <c r="B116" s="493">
        <v>42912</v>
      </c>
      <c r="C116" s="494" t="s">
        <v>511</v>
      </c>
      <c r="D116" s="494" t="s">
        <v>600</v>
      </c>
      <c r="E116" s="495">
        <v>185.25</v>
      </c>
      <c r="F116" s="436" t="s">
        <v>207</v>
      </c>
      <c r="G116" s="436" t="s">
        <v>208</v>
      </c>
      <c r="H116" s="436" t="s">
        <v>278</v>
      </c>
      <c r="I116" s="436" t="s">
        <v>517</v>
      </c>
      <c r="J116" s="409"/>
      <c r="K116" s="410"/>
      <c r="L116" s="411"/>
    </row>
    <row r="117" spans="1:12" ht="37.5" customHeight="1">
      <c r="A117" s="492">
        <v>115</v>
      </c>
      <c r="B117" s="493">
        <v>42912</v>
      </c>
      <c r="C117" s="494" t="s">
        <v>512</v>
      </c>
      <c r="D117" s="494" t="s">
        <v>600</v>
      </c>
      <c r="E117" s="495">
        <v>172.84</v>
      </c>
      <c r="F117" s="494" t="s">
        <v>207</v>
      </c>
      <c r="G117" s="494" t="s">
        <v>208</v>
      </c>
      <c r="H117" s="436" t="s">
        <v>278</v>
      </c>
      <c r="I117" s="436" t="s">
        <v>625</v>
      </c>
      <c r="J117" s="409"/>
      <c r="K117" s="410"/>
      <c r="L117" s="411"/>
    </row>
    <row r="118" spans="1:12" ht="37.5" customHeight="1">
      <c r="A118" s="492">
        <v>116</v>
      </c>
      <c r="B118" s="493">
        <v>42916</v>
      </c>
      <c r="C118" s="494" t="s">
        <v>639</v>
      </c>
      <c r="D118" s="494" t="s">
        <v>617</v>
      </c>
      <c r="E118" s="495">
        <v>562.7</v>
      </c>
      <c r="F118" s="436" t="s">
        <v>141</v>
      </c>
      <c r="G118" s="436" t="s">
        <v>142</v>
      </c>
      <c r="H118" s="436" t="s">
        <v>278</v>
      </c>
      <c r="I118" s="436" t="s">
        <v>308</v>
      </c>
      <c r="J118" s="409"/>
      <c r="K118" s="410"/>
      <c r="L118" s="411"/>
    </row>
    <row r="119" spans="1:12" ht="37.5" customHeight="1">
      <c r="A119" s="492">
        <v>117</v>
      </c>
      <c r="B119" s="493">
        <v>42916</v>
      </c>
      <c r="C119" s="494" t="s">
        <v>627</v>
      </c>
      <c r="D119" s="436" t="s">
        <v>626</v>
      </c>
      <c r="E119" s="437">
        <v>120</v>
      </c>
      <c r="F119" s="436" t="s">
        <v>141</v>
      </c>
      <c r="G119" s="436" t="s">
        <v>142</v>
      </c>
      <c r="H119" s="436" t="s">
        <v>278</v>
      </c>
      <c r="I119" s="436" t="s">
        <v>308</v>
      </c>
      <c r="J119" s="409"/>
      <c r="K119" s="410"/>
      <c r="L119" s="411"/>
    </row>
    <row r="120" spans="1:12" ht="37.5" customHeight="1">
      <c r="A120" s="492">
        <v>118</v>
      </c>
      <c r="B120" s="506">
        <v>42916</v>
      </c>
      <c r="C120" s="501" t="s">
        <v>734</v>
      </c>
      <c r="D120" s="501" t="s">
        <v>732</v>
      </c>
      <c r="E120" s="502">
        <v>4</v>
      </c>
      <c r="F120" s="569" t="s">
        <v>375</v>
      </c>
      <c r="G120" s="569" t="s">
        <v>233</v>
      </c>
      <c r="H120" s="569" t="s">
        <v>278</v>
      </c>
      <c r="I120" s="569" t="s">
        <v>308</v>
      </c>
      <c r="J120" s="509"/>
      <c r="K120" s="510"/>
      <c r="L120" s="511"/>
    </row>
    <row r="121" spans="1:12" ht="37.5" customHeight="1">
      <c r="A121" s="492">
        <v>119</v>
      </c>
      <c r="B121" s="506">
        <v>42916</v>
      </c>
      <c r="C121" s="501" t="s">
        <v>740</v>
      </c>
      <c r="D121" s="501" t="s">
        <v>732</v>
      </c>
      <c r="E121" s="502">
        <v>24.11</v>
      </c>
      <c r="F121" s="569" t="s">
        <v>141</v>
      </c>
      <c r="G121" s="569" t="s">
        <v>142</v>
      </c>
      <c r="H121" s="569" t="s">
        <v>278</v>
      </c>
      <c r="I121" s="569" t="s">
        <v>308</v>
      </c>
      <c r="J121" s="509"/>
      <c r="K121" s="510"/>
      <c r="L121" s="511"/>
    </row>
    <row r="122" spans="1:12" ht="37.5" customHeight="1">
      <c r="A122" s="492">
        <v>120</v>
      </c>
      <c r="B122" s="506">
        <v>42916</v>
      </c>
      <c r="C122" s="501" t="s">
        <v>741</v>
      </c>
      <c r="D122" s="501" t="s">
        <v>732</v>
      </c>
      <c r="E122" s="502">
        <v>46.6</v>
      </c>
      <c r="F122" s="569" t="s">
        <v>141</v>
      </c>
      <c r="G122" s="569" t="s">
        <v>142</v>
      </c>
      <c r="H122" s="569" t="s">
        <v>278</v>
      </c>
      <c r="I122" s="569" t="s">
        <v>308</v>
      </c>
      <c r="J122" s="509"/>
      <c r="K122" s="510"/>
      <c r="L122" s="511"/>
    </row>
    <row r="123" spans="1:12" ht="37.5" customHeight="1">
      <c r="A123" s="492">
        <v>121</v>
      </c>
      <c r="B123" s="493">
        <v>42919</v>
      </c>
      <c r="C123" s="494" t="s">
        <v>513</v>
      </c>
      <c r="D123" s="494" t="s">
        <v>277</v>
      </c>
      <c r="E123" s="495">
        <v>6.95</v>
      </c>
      <c r="F123" s="436" t="s">
        <v>375</v>
      </c>
      <c r="G123" s="436" t="s">
        <v>233</v>
      </c>
      <c r="H123" s="436" t="s">
        <v>278</v>
      </c>
      <c r="I123" s="436" t="s">
        <v>308</v>
      </c>
      <c r="J123" s="409"/>
      <c r="K123" s="410"/>
      <c r="L123" s="411"/>
    </row>
    <row r="124" spans="1:12" ht="37.5" customHeight="1">
      <c r="A124" s="492">
        <v>122</v>
      </c>
      <c r="B124" s="493">
        <v>42919</v>
      </c>
      <c r="C124" s="494" t="s">
        <v>309</v>
      </c>
      <c r="D124" s="494" t="s">
        <v>277</v>
      </c>
      <c r="E124" s="495">
        <v>24.93</v>
      </c>
      <c r="F124" s="436" t="s">
        <v>141</v>
      </c>
      <c r="G124" s="436" t="s">
        <v>142</v>
      </c>
      <c r="H124" s="436" t="s">
        <v>278</v>
      </c>
      <c r="I124" s="436" t="s">
        <v>308</v>
      </c>
      <c r="J124" s="409"/>
      <c r="K124" s="410"/>
      <c r="L124" s="411"/>
    </row>
    <row r="125" spans="1:12" ht="37.5" customHeight="1">
      <c r="A125" s="492">
        <v>123</v>
      </c>
      <c r="B125" s="497">
        <v>42919</v>
      </c>
      <c r="C125" s="498" t="s">
        <v>589</v>
      </c>
      <c r="D125" s="498" t="s">
        <v>277</v>
      </c>
      <c r="E125" s="499">
        <v>7</v>
      </c>
      <c r="F125" s="500" t="s">
        <v>375</v>
      </c>
      <c r="G125" s="500" t="s">
        <v>233</v>
      </c>
      <c r="H125" s="500" t="s">
        <v>278</v>
      </c>
      <c r="I125" s="500" t="s">
        <v>358</v>
      </c>
      <c r="J125" s="451"/>
      <c r="K125" s="452"/>
      <c r="L125" s="453"/>
    </row>
    <row r="126" spans="1:12" ht="37.5" customHeight="1">
      <c r="A126" s="492">
        <v>124</v>
      </c>
      <c r="B126" s="497">
        <v>42919</v>
      </c>
      <c r="C126" s="498" t="s">
        <v>309</v>
      </c>
      <c r="D126" s="498" t="s">
        <v>277</v>
      </c>
      <c r="E126" s="499">
        <v>24.93</v>
      </c>
      <c r="F126" s="500" t="s">
        <v>141</v>
      </c>
      <c r="G126" s="500" t="s">
        <v>142</v>
      </c>
      <c r="H126" s="500" t="s">
        <v>278</v>
      </c>
      <c r="I126" s="500" t="s">
        <v>358</v>
      </c>
      <c r="J126" s="451"/>
      <c r="K126" s="452"/>
      <c r="L126" s="453"/>
    </row>
    <row r="127" spans="1:12" ht="37.5" customHeight="1">
      <c r="A127" s="492">
        <v>125</v>
      </c>
      <c r="B127" s="493">
        <v>42920</v>
      </c>
      <c r="C127" s="494" t="s">
        <v>514</v>
      </c>
      <c r="D127" s="494" t="s">
        <v>595</v>
      </c>
      <c r="E127" s="495">
        <v>25.5</v>
      </c>
      <c r="F127" s="436" t="s">
        <v>50</v>
      </c>
      <c r="G127" s="436" t="s">
        <v>125</v>
      </c>
      <c r="H127" s="436" t="s">
        <v>278</v>
      </c>
      <c r="I127" s="436" t="s">
        <v>308</v>
      </c>
      <c r="J127" s="409"/>
      <c r="K127" s="410"/>
      <c r="L127" s="411"/>
    </row>
    <row r="128" spans="1:12" ht="37.5" customHeight="1">
      <c r="A128" s="492">
        <v>126</v>
      </c>
      <c r="B128" s="493">
        <v>42933</v>
      </c>
      <c r="C128" s="494" t="s">
        <v>640</v>
      </c>
      <c r="D128" s="494" t="s">
        <v>617</v>
      </c>
      <c r="E128" s="495">
        <v>563.72</v>
      </c>
      <c r="F128" s="436" t="s">
        <v>141</v>
      </c>
      <c r="G128" s="436" t="s">
        <v>142</v>
      </c>
      <c r="H128" s="436" t="s">
        <v>278</v>
      </c>
      <c r="I128" s="436" t="s">
        <v>308</v>
      </c>
      <c r="J128" s="409"/>
      <c r="K128" s="410"/>
      <c r="L128" s="411"/>
    </row>
    <row r="129" spans="1:12" ht="37.5" customHeight="1">
      <c r="A129" s="492">
        <v>127</v>
      </c>
      <c r="B129" s="506">
        <v>42946</v>
      </c>
      <c r="C129" s="501" t="s">
        <v>735</v>
      </c>
      <c r="D129" s="501" t="s">
        <v>732</v>
      </c>
      <c r="E129" s="502">
        <v>4</v>
      </c>
      <c r="F129" s="569" t="s">
        <v>375</v>
      </c>
      <c r="G129" s="569" t="s">
        <v>233</v>
      </c>
      <c r="H129" s="569" t="s">
        <v>278</v>
      </c>
      <c r="I129" s="569" t="s">
        <v>308</v>
      </c>
      <c r="J129" s="509"/>
      <c r="K129" s="510"/>
      <c r="L129" s="511"/>
    </row>
    <row r="130" spans="1:12" ht="37.5" customHeight="1">
      <c r="A130" s="492">
        <v>128</v>
      </c>
      <c r="B130" s="497">
        <v>42948</v>
      </c>
      <c r="C130" s="498" t="s">
        <v>590</v>
      </c>
      <c r="D130" s="498" t="s">
        <v>277</v>
      </c>
      <c r="E130" s="499">
        <v>7</v>
      </c>
      <c r="F130" s="498" t="s">
        <v>375</v>
      </c>
      <c r="G130" s="498" t="s">
        <v>233</v>
      </c>
      <c r="H130" s="500" t="s">
        <v>278</v>
      </c>
      <c r="I130" s="500" t="s">
        <v>358</v>
      </c>
      <c r="J130" s="451"/>
      <c r="K130" s="452"/>
      <c r="L130" s="453"/>
    </row>
    <row r="131" spans="1:12" ht="37.5" customHeight="1">
      <c r="A131" s="492">
        <v>129</v>
      </c>
      <c r="B131" s="493">
        <v>42948</v>
      </c>
      <c r="C131" s="494" t="s">
        <v>515</v>
      </c>
      <c r="D131" s="494" t="s">
        <v>277</v>
      </c>
      <c r="E131" s="495">
        <v>6.95</v>
      </c>
      <c r="F131" s="436" t="s">
        <v>375</v>
      </c>
      <c r="G131" s="436" t="s">
        <v>233</v>
      </c>
      <c r="H131" s="436" t="s">
        <v>278</v>
      </c>
      <c r="I131" s="436" t="s">
        <v>308</v>
      </c>
      <c r="J131" s="409"/>
      <c r="K131" s="410"/>
      <c r="L131" s="411"/>
    </row>
    <row r="132" spans="1:12" ht="37.5" customHeight="1">
      <c r="A132" s="492">
        <v>130</v>
      </c>
      <c r="B132" s="493">
        <v>42948</v>
      </c>
      <c r="C132" s="494" t="s">
        <v>516</v>
      </c>
      <c r="D132" s="494" t="s">
        <v>301</v>
      </c>
      <c r="E132" s="495">
        <v>3150</v>
      </c>
      <c r="F132" s="436" t="s">
        <v>54</v>
      </c>
      <c r="G132" s="436" t="s">
        <v>259</v>
      </c>
      <c r="H132" s="436" t="s">
        <v>278</v>
      </c>
      <c r="I132" s="436" t="s">
        <v>301</v>
      </c>
      <c r="J132" s="409"/>
      <c r="K132" s="410"/>
      <c r="L132" s="411"/>
    </row>
    <row r="133" spans="1:12" ht="37.5" customHeight="1">
      <c r="A133" s="492">
        <v>131</v>
      </c>
      <c r="B133" s="493">
        <v>42968</v>
      </c>
      <c r="C133" s="494" t="s">
        <v>641</v>
      </c>
      <c r="D133" s="494" t="s">
        <v>617</v>
      </c>
      <c r="E133" s="495">
        <v>565.57</v>
      </c>
      <c r="F133" s="436" t="s">
        <v>141</v>
      </c>
      <c r="G133" s="436" t="s">
        <v>142</v>
      </c>
      <c r="H133" s="436" t="s">
        <v>278</v>
      </c>
      <c r="I133" s="436" t="s">
        <v>308</v>
      </c>
      <c r="J133" s="409"/>
      <c r="K133" s="410"/>
      <c r="L133" s="411"/>
    </row>
    <row r="134" spans="1:12" ht="37.5" customHeight="1">
      <c r="A134" s="492">
        <v>132</v>
      </c>
      <c r="B134" s="497">
        <v>42971</v>
      </c>
      <c r="C134" s="497" t="s">
        <v>620</v>
      </c>
      <c r="D134" s="498" t="s">
        <v>268</v>
      </c>
      <c r="E134" s="499">
        <f>26000+9234.96</f>
        <v>35234.96</v>
      </c>
      <c r="F134" s="442" t="s">
        <v>249</v>
      </c>
      <c r="G134" s="443" t="s">
        <v>250</v>
      </c>
      <c r="H134" s="498" t="s">
        <v>278</v>
      </c>
      <c r="I134" s="505" t="s">
        <v>358</v>
      </c>
      <c r="J134" s="451"/>
      <c r="K134" s="452"/>
      <c r="L134" s="453"/>
    </row>
    <row r="135" spans="1:12" ht="37.5" customHeight="1">
      <c r="A135" s="492">
        <v>133</v>
      </c>
      <c r="B135" s="497">
        <v>42971</v>
      </c>
      <c r="C135" s="497" t="s">
        <v>644</v>
      </c>
      <c r="D135" s="498" t="s">
        <v>277</v>
      </c>
      <c r="E135" s="499">
        <v>6</v>
      </c>
      <c r="F135" s="498" t="s">
        <v>375</v>
      </c>
      <c r="G135" s="498" t="s">
        <v>233</v>
      </c>
      <c r="H135" s="500" t="s">
        <v>278</v>
      </c>
      <c r="I135" s="500" t="s">
        <v>358</v>
      </c>
      <c r="J135" s="451"/>
      <c r="K135" s="452"/>
      <c r="L135" s="453"/>
    </row>
    <row r="136" spans="1:12" ht="37.5" customHeight="1">
      <c r="A136" s="492">
        <v>134</v>
      </c>
      <c r="B136" s="497">
        <v>42978</v>
      </c>
      <c r="C136" s="497" t="s">
        <v>622</v>
      </c>
      <c r="D136" s="498" t="s">
        <v>268</v>
      </c>
      <c r="E136" s="507">
        <v>8081</v>
      </c>
      <c r="F136" s="442" t="s">
        <v>249</v>
      </c>
      <c r="G136" s="443" t="s">
        <v>250</v>
      </c>
      <c r="H136" s="498" t="s">
        <v>278</v>
      </c>
      <c r="I136" s="505" t="s">
        <v>358</v>
      </c>
      <c r="J136" s="451"/>
      <c r="K136" s="452"/>
      <c r="L136" s="453"/>
    </row>
    <row r="137" spans="1:12" ht="37.5" customHeight="1">
      <c r="A137" s="492">
        <v>135</v>
      </c>
      <c r="B137" s="497">
        <v>42978</v>
      </c>
      <c r="C137" s="497" t="s">
        <v>623</v>
      </c>
      <c r="D137" s="498" t="s">
        <v>268</v>
      </c>
      <c r="E137" s="508">
        <v>1300</v>
      </c>
      <c r="F137" s="442" t="s">
        <v>249</v>
      </c>
      <c r="G137" s="443" t="s">
        <v>250</v>
      </c>
      <c r="H137" s="498" t="s">
        <v>278</v>
      </c>
      <c r="I137" s="505" t="s">
        <v>358</v>
      </c>
      <c r="J137" s="451"/>
      <c r="K137" s="452"/>
      <c r="L137" s="453"/>
    </row>
    <row r="138" spans="1:12" ht="37.5" customHeight="1">
      <c r="A138" s="492">
        <v>136</v>
      </c>
      <c r="B138" s="493">
        <v>42978</v>
      </c>
      <c r="C138" s="494" t="s">
        <v>624</v>
      </c>
      <c r="D138" s="494" t="s">
        <v>268</v>
      </c>
      <c r="E138" s="495">
        <v>4537.5</v>
      </c>
      <c r="F138" s="436" t="s">
        <v>207</v>
      </c>
      <c r="G138" s="436" t="s">
        <v>208</v>
      </c>
      <c r="H138" s="436" t="s">
        <v>278</v>
      </c>
      <c r="I138" s="436" t="s">
        <v>625</v>
      </c>
      <c r="J138" s="409"/>
      <c r="K138" s="410"/>
      <c r="L138" s="411"/>
    </row>
    <row r="139" spans="1:12" ht="37.5" customHeight="1">
      <c r="A139" s="492">
        <v>137</v>
      </c>
      <c r="B139" s="506">
        <v>42978</v>
      </c>
      <c r="C139" s="501" t="s">
        <v>736</v>
      </c>
      <c r="D139" s="501" t="s">
        <v>732</v>
      </c>
      <c r="E139" s="502">
        <v>4</v>
      </c>
      <c r="F139" s="569" t="s">
        <v>375</v>
      </c>
      <c r="G139" s="569" t="s">
        <v>233</v>
      </c>
      <c r="H139" s="569" t="s">
        <v>278</v>
      </c>
      <c r="I139" s="569" t="s">
        <v>308</v>
      </c>
      <c r="J139" s="509"/>
      <c r="K139" s="510"/>
      <c r="L139" s="511"/>
    </row>
    <row r="140" spans="1:12" ht="37.5" customHeight="1">
      <c r="A140" s="492">
        <v>138</v>
      </c>
      <c r="B140" s="493">
        <v>42979</v>
      </c>
      <c r="C140" s="494" t="s">
        <v>611</v>
      </c>
      <c r="D140" s="494" t="s">
        <v>277</v>
      </c>
      <c r="E140" s="495">
        <v>6.95</v>
      </c>
      <c r="F140" s="436" t="s">
        <v>375</v>
      </c>
      <c r="G140" s="436" t="s">
        <v>233</v>
      </c>
      <c r="H140" s="436" t="s">
        <v>278</v>
      </c>
      <c r="I140" s="436" t="s">
        <v>308</v>
      </c>
      <c r="J140" s="409"/>
      <c r="K140" s="410"/>
      <c r="L140" s="411"/>
    </row>
    <row r="141" spans="1:12" ht="37.5" customHeight="1">
      <c r="A141" s="492">
        <v>139</v>
      </c>
      <c r="B141" s="497">
        <v>42979</v>
      </c>
      <c r="C141" s="497" t="s">
        <v>621</v>
      </c>
      <c r="D141" s="498" t="s">
        <v>277</v>
      </c>
      <c r="E141" s="499">
        <v>7</v>
      </c>
      <c r="F141" s="498" t="s">
        <v>375</v>
      </c>
      <c r="G141" s="498" t="s">
        <v>233</v>
      </c>
      <c r="H141" s="500"/>
      <c r="I141" s="500"/>
      <c r="J141" s="451"/>
      <c r="K141" s="452"/>
      <c r="L141" s="453"/>
    </row>
    <row r="142" spans="1:12" ht="37.5" customHeight="1">
      <c r="A142" s="492">
        <v>140</v>
      </c>
      <c r="B142" s="493">
        <v>42986</v>
      </c>
      <c r="C142" s="494" t="s">
        <v>612</v>
      </c>
      <c r="D142" s="494" t="s">
        <v>594</v>
      </c>
      <c r="E142" s="495">
        <v>275</v>
      </c>
      <c r="F142" s="436" t="s">
        <v>207</v>
      </c>
      <c r="G142" s="436" t="s">
        <v>208</v>
      </c>
      <c r="H142" s="436" t="s">
        <v>278</v>
      </c>
      <c r="I142" s="436" t="s">
        <v>625</v>
      </c>
      <c r="J142" s="409"/>
      <c r="K142" s="410"/>
      <c r="L142" s="411"/>
    </row>
    <row r="143" spans="1:12" ht="37.5" customHeight="1">
      <c r="A143" s="492">
        <v>141</v>
      </c>
      <c r="B143" s="497">
        <v>42993</v>
      </c>
      <c r="C143" s="497" t="s">
        <v>645</v>
      </c>
      <c r="D143" s="498"/>
      <c r="E143" s="499">
        <v>6.98</v>
      </c>
      <c r="F143" s="498" t="s">
        <v>375</v>
      </c>
      <c r="G143" s="498" t="s">
        <v>233</v>
      </c>
      <c r="H143" s="500" t="s">
        <v>278</v>
      </c>
      <c r="I143" s="500" t="s">
        <v>358</v>
      </c>
      <c r="J143" s="451"/>
      <c r="K143" s="452"/>
      <c r="L143" s="453"/>
    </row>
    <row r="144" spans="1:12" ht="37.5" customHeight="1">
      <c r="A144" s="492">
        <v>142</v>
      </c>
      <c r="B144" s="497">
        <v>42993</v>
      </c>
      <c r="C144" s="498" t="s">
        <v>309</v>
      </c>
      <c r="D144" s="498"/>
      <c r="E144" s="499">
        <v>21.09</v>
      </c>
      <c r="F144" s="500" t="s">
        <v>141</v>
      </c>
      <c r="G144" s="500" t="s">
        <v>142</v>
      </c>
      <c r="H144" s="500" t="s">
        <v>278</v>
      </c>
      <c r="I144" s="500" t="s">
        <v>358</v>
      </c>
      <c r="J144" s="451"/>
      <c r="K144" s="452"/>
      <c r="L144" s="453"/>
    </row>
    <row r="145" spans="1:12" ht="37.5" customHeight="1">
      <c r="A145" s="492">
        <v>143</v>
      </c>
      <c r="B145" s="497">
        <v>42993</v>
      </c>
      <c r="C145" s="497" t="s">
        <v>609</v>
      </c>
      <c r="D145" s="498" t="s">
        <v>268</v>
      </c>
      <c r="E145" s="499">
        <v>1042.28</v>
      </c>
      <c r="F145" s="442" t="s">
        <v>249</v>
      </c>
      <c r="G145" s="443" t="s">
        <v>250</v>
      </c>
      <c r="H145" s="498" t="s">
        <v>278</v>
      </c>
      <c r="I145" s="505" t="s">
        <v>358</v>
      </c>
      <c r="J145" s="451"/>
      <c r="K145" s="452"/>
      <c r="L145" s="453"/>
    </row>
    <row r="146" spans="1:12" ht="37.5" customHeight="1">
      <c r="A146" s="492">
        <v>144</v>
      </c>
      <c r="B146" s="493">
        <v>42996</v>
      </c>
      <c r="C146" s="494" t="s">
        <v>642</v>
      </c>
      <c r="D146" s="494" t="s">
        <v>617</v>
      </c>
      <c r="E146" s="495">
        <v>567.42</v>
      </c>
      <c r="F146" s="436" t="s">
        <v>141</v>
      </c>
      <c r="G146" s="436" t="s">
        <v>142</v>
      </c>
      <c r="H146" s="436" t="s">
        <v>278</v>
      </c>
      <c r="I146" s="436" t="s">
        <v>308</v>
      </c>
      <c r="J146" s="409"/>
      <c r="K146" s="410"/>
      <c r="L146" s="411"/>
    </row>
    <row r="147" spans="1:12" ht="37.5" customHeight="1">
      <c r="A147" s="492">
        <v>145</v>
      </c>
      <c r="B147" s="493">
        <v>43004</v>
      </c>
      <c r="C147" s="494" t="s">
        <v>613</v>
      </c>
      <c r="D147" s="494" t="s">
        <v>618</v>
      </c>
      <c r="E147" s="495">
        <v>152.26</v>
      </c>
      <c r="F147" s="436" t="s">
        <v>207</v>
      </c>
      <c r="G147" s="436" t="s">
        <v>208</v>
      </c>
      <c r="H147" s="436" t="s">
        <v>278</v>
      </c>
      <c r="I147" s="436" t="s">
        <v>517</v>
      </c>
      <c r="J147" s="409">
        <f>'GIORNALE DELLE ENTRATE'!E32</f>
        <v>24</v>
      </c>
      <c r="K147" s="410">
        <f>E147-J147</f>
        <v>128.26</v>
      </c>
      <c r="L147" s="411"/>
    </row>
    <row r="148" spans="1:12" ht="37.5" customHeight="1">
      <c r="A148" s="492">
        <v>146</v>
      </c>
      <c r="B148" s="493">
        <v>43008</v>
      </c>
      <c r="C148" s="494" t="s">
        <v>309</v>
      </c>
      <c r="D148" s="494" t="s">
        <v>277</v>
      </c>
      <c r="E148" s="495">
        <v>25.2</v>
      </c>
      <c r="F148" s="436" t="s">
        <v>141</v>
      </c>
      <c r="G148" s="436" t="s">
        <v>142</v>
      </c>
      <c r="H148" s="436" t="s">
        <v>278</v>
      </c>
      <c r="I148" s="436" t="s">
        <v>308</v>
      </c>
      <c r="J148" s="409"/>
      <c r="K148" s="410"/>
      <c r="L148" s="411"/>
    </row>
    <row r="149" spans="1:12" ht="37.5" customHeight="1">
      <c r="A149" s="492">
        <v>147</v>
      </c>
      <c r="B149" s="506">
        <v>43008</v>
      </c>
      <c r="C149" s="501" t="s">
        <v>737</v>
      </c>
      <c r="D149" s="501" t="s">
        <v>732</v>
      </c>
      <c r="E149" s="502">
        <v>4</v>
      </c>
      <c r="F149" s="569" t="s">
        <v>375</v>
      </c>
      <c r="G149" s="569" t="s">
        <v>233</v>
      </c>
      <c r="H149" s="569" t="s">
        <v>278</v>
      </c>
      <c r="I149" s="569" t="s">
        <v>308</v>
      </c>
      <c r="J149" s="509"/>
      <c r="K149" s="510"/>
      <c r="L149" s="511"/>
    </row>
    <row r="150" spans="1:12" ht="37.5" customHeight="1">
      <c r="A150" s="492">
        <v>148</v>
      </c>
      <c r="B150" s="506">
        <v>43008</v>
      </c>
      <c r="C150" s="501" t="s">
        <v>740</v>
      </c>
      <c r="D150" s="501" t="s">
        <v>732</v>
      </c>
      <c r="E150" s="502">
        <v>25.2</v>
      </c>
      <c r="F150" s="569" t="s">
        <v>141</v>
      </c>
      <c r="G150" s="569" t="s">
        <v>142</v>
      </c>
      <c r="H150" s="569" t="s">
        <v>278</v>
      </c>
      <c r="I150" s="569" t="s">
        <v>308</v>
      </c>
      <c r="J150" s="509"/>
      <c r="K150" s="510"/>
      <c r="L150" s="511"/>
    </row>
    <row r="151" spans="1:12" ht="37.5" customHeight="1">
      <c r="A151" s="492">
        <v>149</v>
      </c>
      <c r="B151" s="506">
        <v>43008</v>
      </c>
      <c r="C151" s="501" t="s">
        <v>741</v>
      </c>
      <c r="D151" s="501" t="s">
        <v>732</v>
      </c>
      <c r="E151" s="502">
        <v>50.4</v>
      </c>
      <c r="F151" s="569" t="s">
        <v>141</v>
      </c>
      <c r="G151" s="569" t="s">
        <v>142</v>
      </c>
      <c r="H151" s="569" t="s">
        <v>278</v>
      </c>
      <c r="I151" s="569" t="s">
        <v>308</v>
      </c>
      <c r="J151" s="509"/>
      <c r="K151" s="510"/>
      <c r="L151" s="511"/>
    </row>
    <row r="152" spans="1:12" ht="37.5" customHeight="1">
      <c r="A152" s="492">
        <v>150</v>
      </c>
      <c r="B152" s="493">
        <v>43009</v>
      </c>
      <c r="C152" s="494" t="s">
        <v>614</v>
      </c>
      <c r="D152" s="494" t="s">
        <v>277</v>
      </c>
      <c r="E152" s="495">
        <v>6.95</v>
      </c>
      <c r="F152" s="436" t="s">
        <v>375</v>
      </c>
      <c r="G152" s="436" t="s">
        <v>233</v>
      </c>
      <c r="H152" s="436" t="s">
        <v>278</v>
      </c>
      <c r="I152" s="436" t="s">
        <v>308</v>
      </c>
      <c r="J152" s="409"/>
      <c r="K152" s="410"/>
      <c r="L152" s="411"/>
    </row>
    <row r="153" spans="1:12" ht="37.5" customHeight="1">
      <c r="A153" s="492">
        <v>151</v>
      </c>
      <c r="B153" s="493">
        <v>43017</v>
      </c>
      <c r="C153" s="494" t="s">
        <v>615</v>
      </c>
      <c r="D153" s="494" t="s">
        <v>593</v>
      </c>
      <c r="E153" s="495">
        <v>2500</v>
      </c>
      <c r="F153" s="494" t="s">
        <v>52</v>
      </c>
      <c r="G153" s="494" t="s">
        <v>126</v>
      </c>
      <c r="H153" s="494" t="s">
        <v>278</v>
      </c>
      <c r="I153" s="496" t="s">
        <v>308</v>
      </c>
      <c r="J153" s="409">
        <f>'GIORNALE DELLE ENTRATE'!E33</f>
        <v>500</v>
      </c>
      <c r="K153" s="410">
        <f>E153-J153</f>
        <v>2000</v>
      </c>
      <c r="L153" s="411"/>
    </row>
    <row r="154" spans="1:12" ht="37.5" customHeight="1">
      <c r="A154" s="492">
        <v>152</v>
      </c>
      <c r="B154" s="493">
        <v>43020</v>
      </c>
      <c r="C154" s="494" t="s">
        <v>616</v>
      </c>
      <c r="D154" s="494" t="s">
        <v>594</v>
      </c>
      <c r="E154" s="495">
        <v>671.11</v>
      </c>
      <c r="F154" s="436" t="s">
        <v>207</v>
      </c>
      <c r="G154" s="436" t="s">
        <v>208</v>
      </c>
      <c r="H154" s="436" t="s">
        <v>278</v>
      </c>
      <c r="I154" s="436" t="s">
        <v>625</v>
      </c>
      <c r="J154" s="409"/>
      <c r="K154" s="410"/>
      <c r="L154" s="411"/>
    </row>
    <row r="155" spans="1:12" ht="37.5" customHeight="1">
      <c r="A155" s="492">
        <v>153</v>
      </c>
      <c r="B155" s="493">
        <v>43024</v>
      </c>
      <c r="C155" s="494" t="s">
        <v>619</v>
      </c>
      <c r="D155" s="494" t="s">
        <v>280</v>
      </c>
      <c r="E155" s="495">
        <v>24</v>
      </c>
      <c r="F155" s="436" t="s">
        <v>79</v>
      </c>
      <c r="G155" s="436" t="s">
        <v>0</v>
      </c>
      <c r="H155" s="436" t="s">
        <v>278</v>
      </c>
      <c r="I155" s="436" t="s">
        <v>358</v>
      </c>
      <c r="J155" s="409"/>
      <c r="K155" s="410"/>
      <c r="L155" s="411"/>
    </row>
    <row r="156" spans="1:12" ht="37.5" customHeight="1">
      <c r="A156" s="492">
        <v>154</v>
      </c>
      <c r="B156" s="493">
        <v>43024</v>
      </c>
      <c r="C156" s="494" t="s">
        <v>643</v>
      </c>
      <c r="D156" s="494" t="s">
        <v>617</v>
      </c>
      <c r="E156" s="495">
        <v>569.28</v>
      </c>
      <c r="F156" s="436" t="s">
        <v>141</v>
      </c>
      <c r="G156" s="436" t="s">
        <v>142</v>
      </c>
      <c r="H156" s="436" t="s">
        <v>278</v>
      </c>
      <c r="I156" s="436" t="s">
        <v>308</v>
      </c>
      <c r="J156" s="409"/>
      <c r="K156" s="410"/>
      <c r="L156" s="411"/>
    </row>
    <row r="157" spans="1:12" ht="37.5" customHeight="1">
      <c r="A157" s="492">
        <v>155</v>
      </c>
      <c r="B157" s="493">
        <v>43031</v>
      </c>
      <c r="C157" s="494" t="s">
        <v>715</v>
      </c>
      <c r="D157" s="494" t="s">
        <v>594</v>
      </c>
      <c r="E157" s="495">
        <v>233.97</v>
      </c>
      <c r="F157" s="436" t="s">
        <v>135</v>
      </c>
      <c r="G157" s="436" t="s">
        <v>158</v>
      </c>
      <c r="H157" s="436" t="s">
        <v>278</v>
      </c>
      <c r="I157" s="436" t="s">
        <v>308</v>
      </c>
      <c r="J157" s="409"/>
      <c r="K157" s="410"/>
      <c r="L157" s="411"/>
    </row>
    <row r="158" spans="1:12" ht="37.5" customHeight="1">
      <c r="A158" s="492">
        <v>156</v>
      </c>
      <c r="B158" s="506">
        <v>43039</v>
      </c>
      <c r="C158" s="501" t="s">
        <v>738</v>
      </c>
      <c r="D158" s="501" t="s">
        <v>732</v>
      </c>
      <c r="E158" s="502">
        <v>4</v>
      </c>
      <c r="F158" s="569" t="s">
        <v>375</v>
      </c>
      <c r="G158" s="569" t="s">
        <v>233</v>
      </c>
      <c r="H158" s="569" t="s">
        <v>278</v>
      </c>
      <c r="I158" s="569" t="s">
        <v>308</v>
      </c>
      <c r="J158" s="509"/>
      <c r="K158" s="510"/>
      <c r="L158" s="511"/>
    </row>
    <row r="159" spans="1:12" ht="37.5" customHeight="1">
      <c r="A159" s="492">
        <v>157</v>
      </c>
      <c r="B159" s="493">
        <v>43040</v>
      </c>
      <c r="C159" s="494" t="s">
        <v>716</v>
      </c>
      <c r="D159" s="494" t="s">
        <v>277</v>
      </c>
      <c r="E159" s="495">
        <v>6.95</v>
      </c>
      <c r="F159" s="436" t="s">
        <v>375</v>
      </c>
      <c r="G159" s="436" t="s">
        <v>233</v>
      </c>
      <c r="H159" s="436" t="s">
        <v>278</v>
      </c>
      <c r="I159" s="436" t="s">
        <v>308</v>
      </c>
      <c r="J159" s="409"/>
      <c r="K159" s="410"/>
      <c r="L159" s="411"/>
    </row>
    <row r="160" spans="1:12" ht="37.5" customHeight="1">
      <c r="A160" s="492">
        <v>158</v>
      </c>
      <c r="B160" s="493">
        <v>43055</v>
      </c>
      <c r="C160" s="494" t="s">
        <v>714</v>
      </c>
      <c r="D160" s="494" t="s">
        <v>617</v>
      </c>
      <c r="E160" s="495">
        <v>571.14</v>
      </c>
      <c r="F160" s="436" t="s">
        <v>141</v>
      </c>
      <c r="G160" s="436" t="s">
        <v>142</v>
      </c>
      <c r="H160" s="436" t="s">
        <v>278</v>
      </c>
      <c r="I160" s="436" t="s">
        <v>308</v>
      </c>
      <c r="J160" s="409"/>
      <c r="K160" s="410"/>
      <c r="L160" s="411"/>
    </row>
    <row r="161" spans="1:12" ht="37.5" customHeight="1">
      <c r="A161" s="492">
        <v>159</v>
      </c>
      <c r="B161" s="493">
        <v>43055</v>
      </c>
      <c r="C161" s="494" t="s">
        <v>721</v>
      </c>
      <c r="D161" s="494" t="s">
        <v>280</v>
      </c>
      <c r="E161" s="495">
        <v>500</v>
      </c>
      <c r="F161" s="436" t="s">
        <v>79</v>
      </c>
      <c r="G161" s="436" t="s">
        <v>0</v>
      </c>
      <c r="H161" s="436" t="s">
        <v>278</v>
      </c>
      <c r="I161" s="436" t="s">
        <v>308</v>
      </c>
      <c r="J161" s="409"/>
      <c r="K161" s="410"/>
      <c r="L161" s="411"/>
    </row>
    <row r="162" spans="1:12" ht="37.5" customHeight="1">
      <c r="A162" s="492">
        <v>160</v>
      </c>
      <c r="B162" s="493">
        <v>43056</v>
      </c>
      <c r="C162" s="494" t="s">
        <v>717</v>
      </c>
      <c r="D162" s="494" t="s">
        <v>595</v>
      </c>
      <c r="E162" s="495">
        <v>200</v>
      </c>
      <c r="F162" s="494" t="s">
        <v>52</v>
      </c>
      <c r="G162" s="494" t="s">
        <v>126</v>
      </c>
      <c r="H162" s="494" t="s">
        <v>278</v>
      </c>
      <c r="I162" s="496" t="s">
        <v>308</v>
      </c>
      <c r="J162" s="409"/>
      <c r="K162" s="410"/>
      <c r="L162" s="411"/>
    </row>
    <row r="163" spans="1:12" ht="37.5" customHeight="1">
      <c r="A163" s="492">
        <v>161</v>
      </c>
      <c r="B163" s="493">
        <v>43056</v>
      </c>
      <c r="C163" s="494" t="s">
        <v>775</v>
      </c>
      <c r="D163" s="494" t="s">
        <v>723</v>
      </c>
      <c r="E163" s="495">
        <f>78665.48+2432.95</f>
        <v>81098.43</v>
      </c>
      <c r="F163" s="494" t="s">
        <v>249</v>
      </c>
      <c r="G163" s="494" t="s">
        <v>250</v>
      </c>
      <c r="H163" s="494" t="s">
        <v>278</v>
      </c>
      <c r="I163" s="496" t="s">
        <v>713</v>
      </c>
      <c r="J163" s="409"/>
      <c r="K163" s="410"/>
      <c r="L163" s="411"/>
    </row>
    <row r="164" spans="1:12" ht="37.5" customHeight="1">
      <c r="A164" s="492">
        <v>162</v>
      </c>
      <c r="B164" s="493">
        <v>43056</v>
      </c>
      <c r="C164" s="494" t="s">
        <v>773</v>
      </c>
      <c r="D164" s="494" t="s">
        <v>277</v>
      </c>
      <c r="E164" s="495">
        <v>5.54</v>
      </c>
      <c r="F164" s="436" t="s">
        <v>375</v>
      </c>
      <c r="G164" s="436" t="s">
        <v>233</v>
      </c>
      <c r="H164" s="436" t="s">
        <v>278</v>
      </c>
      <c r="I164" s="436" t="s">
        <v>308</v>
      </c>
      <c r="J164" s="409"/>
      <c r="K164" s="410"/>
      <c r="L164" s="411"/>
    </row>
    <row r="165" spans="1:12" ht="37.5" customHeight="1">
      <c r="A165" s="492">
        <v>163</v>
      </c>
      <c r="B165" s="493">
        <v>43067</v>
      </c>
      <c r="C165" s="494" t="s">
        <v>718</v>
      </c>
      <c r="D165" s="494" t="s">
        <v>724</v>
      </c>
      <c r="E165" s="495">
        <v>1512.5</v>
      </c>
      <c r="F165" s="494" t="s">
        <v>54</v>
      </c>
      <c r="G165" s="494" t="s">
        <v>259</v>
      </c>
      <c r="H165" s="494" t="s">
        <v>278</v>
      </c>
      <c r="I165" s="496" t="s">
        <v>308</v>
      </c>
      <c r="J165" s="409"/>
      <c r="K165" s="410"/>
      <c r="L165" s="411"/>
    </row>
    <row r="166" spans="1:12" ht="37.5" customHeight="1">
      <c r="A166" s="492">
        <v>164</v>
      </c>
      <c r="B166" s="493">
        <v>43067</v>
      </c>
      <c r="C166" s="494" t="s">
        <v>719</v>
      </c>
      <c r="D166" s="494" t="s">
        <v>595</v>
      </c>
      <c r="E166" s="495">
        <v>8.8</v>
      </c>
      <c r="F166" s="494" t="s">
        <v>58</v>
      </c>
      <c r="G166" s="494" t="s">
        <v>71</v>
      </c>
      <c r="H166" s="494" t="s">
        <v>278</v>
      </c>
      <c r="I166" s="496" t="s">
        <v>308</v>
      </c>
      <c r="J166" s="409"/>
      <c r="K166" s="410"/>
      <c r="L166" s="411"/>
    </row>
    <row r="167" spans="1:12" ht="37.5" customHeight="1">
      <c r="A167" s="492">
        <v>165</v>
      </c>
      <c r="B167" s="506">
        <v>43069</v>
      </c>
      <c r="C167" s="501" t="s">
        <v>739</v>
      </c>
      <c r="D167" s="501" t="s">
        <v>732</v>
      </c>
      <c r="E167" s="502">
        <v>4</v>
      </c>
      <c r="F167" s="569" t="s">
        <v>375</v>
      </c>
      <c r="G167" s="569" t="s">
        <v>233</v>
      </c>
      <c r="H167" s="569" t="s">
        <v>278</v>
      </c>
      <c r="I167" s="569" t="s">
        <v>308</v>
      </c>
      <c r="J167" s="509"/>
      <c r="K167" s="510"/>
      <c r="L167" s="511"/>
    </row>
    <row r="168" spans="1:12" ht="37.5" customHeight="1">
      <c r="A168" s="492">
        <v>166</v>
      </c>
      <c r="B168" s="493">
        <v>43070</v>
      </c>
      <c r="C168" s="494" t="s">
        <v>720</v>
      </c>
      <c r="D168" s="494" t="s">
        <v>277</v>
      </c>
      <c r="E168" s="495">
        <v>6.95</v>
      </c>
      <c r="F168" s="436" t="s">
        <v>375</v>
      </c>
      <c r="G168" s="436" t="s">
        <v>233</v>
      </c>
      <c r="H168" s="436" t="s">
        <v>278</v>
      </c>
      <c r="I168" s="436" t="s">
        <v>308</v>
      </c>
      <c r="J168" s="409"/>
      <c r="K168" s="410"/>
      <c r="L168" s="411"/>
    </row>
    <row r="169" spans="1:12" ht="37.5" customHeight="1">
      <c r="A169" s="492">
        <v>167</v>
      </c>
      <c r="B169" s="493">
        <v>43089</v>
      </c>
      <c r="C169" s="494" t="s">
        <v>776</v>
      </c>
      <c r="D169" s="494" t="s">
        <v>723</v>
      </c>
      <c r="E169" s="495">
        <f>15733.1+486.59</f>
        <v>16219.69</v>
      </c>
      <c r="F169" s="494" t="s">
        <v>249</v>
      </c>
      <c r="G169" s="494" t="s">
        <v>250</v>
      </c>
      <c r="H169" s="494" t="s">
        <v>278</v>
      </c>
      <c r="I169" s="496" t="s">
        <v>713</v>
      </c>
      <c r="J169" s="409"/>
      <c r="K169" s="410"/>
      <c r="L169" s="411"/>
    </row>
    <row r="170" spans="1:12" ht="37.5" customHeight="1">
      <c r="A170" s="492">
        <v>168</v>
      </c>
      <c r="B170" s="493">
        <v>43089</v>
      </c>
      <c r="C170" s="494" t="s">
        <v>774</v>
      </c>
      <c r="D170" s="494" t="s">
        <v>277</v>
      </c>
      <c r="E170" s="495">
        <v>5.54</v>
      </c>
      <c r="F170" s="436" t="s">
        <v>375</v>
      </c>
      <c r="G170" s="436" t="s">
        <v>233</v>
      </c>
      <c r="H170" s="436" t="s">
        <v>278</v>
      </c>
      <c r="I170" s="436" t="s">
        <v>308</v>
      </c>
      <c r="J170" s="409"/>
      <c r="K170" s="410"/>
      <c r="L170" s="411"/>
    </row>
    <row r="171" spans="1:12" ht="37.5" customHeight="1">
      <c r="A171" s="492">
        <v>169</v>
      </c>
      <c r="B171" s="493">
        <v>43089</v>
      </c>
      <c r="C171" s="494" t="s">
        <v>767</v>
      </c>
      <c r="D171" s="494" t="s">
        <v>460</v>
      </c>
      <c r="E171" s="495">
        <f>22541.13+697.15</f>
        <v>23238.280000000002</v>
      </c>
      <c r="F171" s="494" t="s">
        <v>249</v>
      </c>
      <c r="G171" s="494" t="s">
        <v>250</v>
      </c>
      <c r="H171" s="494" t="s">
        <v>279</v>
      </c>
      <c r="I171" s="436" t="s">
        <v>667</v>
      </c>
      <c r="J171" s="409"/>
      <c r="K171" s="410"/>
      <c r="L171" s="411"/>
    </row>
    <row r="172" spans="1:12" ht="37.5" customHeight="1">
      <c r="A172" s="492">
        <v>170</v>
      </c>
      <c r="B172" s="493">
        <v>43089</v>
      </c>
      <c r="C172" s="494" t="s">
        <v>777</v>
      </c>
      <c r="D172" s="494" t="s">
        <v>277</v>
      </c>
      <c r="E172" s="495">
        <v>5.54</v>
      </c>
      <c r="F172" s="436" t="s">
        <v>375</v>
      </c>
      <c r="G172" s="436" t="s">
        <v>233</v>
      </c>
      <c r="H172" s="436" t="s">
        <v>278</v>
      </c>
      <c r="I172" s="436" t="s">
        <v>308</v>
      </c>
      <c r="J172" s="409"/>
      <c r="K172" s="410"/>
      <c r="L172" s="411"/>
    </row>
    <row r="173" spans="1:12" ht="37.5" customHeight="1">
      <c r="A173" s="492">
        <v>171</v>
      </c>
      <c r="B173" s="493">
        <v>43089</v>
      </c>
      <c r="C173" s="494" t="s">
        <v>768</v>
      </c>
      <c r="D173" s="494" t="s">
        <v>460</v>
      </c>
      <c r="E173" s="495">
        <f>15027.42+464.77</f>
        <v>15492.19</v>
      </c>
      <c r="F173" s="494" t="s">
        <v>249</v>
      </c>
      <c r="G173" s="494" t="s">
        <v>250</v>
      </c>
      <c r="H173" s="494" t="s">
        <v>279</v>
      </c>
      <c r="I173" s="436" t="s">
        <v>667</v>
      </c>
      <c r="J173" s="409"/>
      <c r="K173" s="410"/>
      <c r="L173" s="411"/>
    </row>
    <row r="174" spans="1:12" ht="37.5" customHeight="1">
      <c r="A174" s="492">
        <v>172</v>
      </c>
      <c r="B174" s="493">
        <v>43089</v>
      </c>
      <c r="C174" s="494" t="s">
        <v>778</v>
      </c>
      <c r="D174" s="494" t="s">
        <v>277</v>
      </c>
      <c r="E174" s="495">
        <v>5.54</v>
      </c>
      <c r="F174" s="436" t="s">
        <v>375</v>
      </c>
      <c r="G174" s="436" t="s">
        <v>233</v>
      </c>
      <c r="H174" s="436" t="s">
        <v>278</v>
      </c>
      <c r="I174" s="436" t="s">
        <v>308</v>
      </c>
      <c r="J174" s="409"/>
      <c r="K174" s="410"/>
      <c r="L174" s="411"/>
    </row>
    <row r="175" spans="1:12" ht="37.5" customHeight="1">
      <c r="A175" s="492">
        <v>173</v>
      </c>
      <c r="B175" s="493">
        <v>43089</v>
      </c>
      <c r="C175" s="494" t="s">
        <v>769</v>
      </c>
      <c r="D175" s="494" t="s">
        <v>460</v>
      </c>
      <c r="E175" s="495">
        <f>107760.94+3332.8125</f>
        <v>111093.7525</v>
      </c>
      <c r="F175" s="494" t="s">
        <v>249</v>
      </c>
      <c r="G175" s="494" t="s">
        <v>250</v>
      </c>
      <c r="H175" s="436" t="s">
        <v>278</v>
      </c>
      <c r="I175" s="436" t="s">
        <v>712</v>
      </c>
      <c r="J175" s="409"/>
      <c r="K175" s="410"/>
      <c r="L175" s="411"/>
    </row>
    <row r="176" spans="1:12" ht="37.5" customHeight="1">
      <c r="A176" s="492">
        <v>174</v>
      </c>
      <c r="B176" s="493">
        <v>43089</v>
      </c>
      <c r="C176" s="494" t="s">
        <v>779</v>
      </c>
      <c r="D176" s="494" t="s">
        <v>277</v>
      </c>
      <c r="E176" s="495">
        <v>5.54</v>
      </c>
      <c r="F176" s="436" t="s">
        <v>375</v>
      </c>
      <c r="G176" s="436" t="s">
        <v>233</v>
      </c>
      <c r="H176" s="436" t="s">
        <v>278</v>
      </c>
      <c r="I176" s="436" t="s">
        <v>308</v>
      </c>
      <c r="J176" s="409"/>
      <c r="K176" s="410"/>
      <c r="L176" s="411"/>
    </row>
    <row r="177" spans="1:12" ht="37.5" customHeight="1">
      <c r="A177" s="492">
        <v>175</v>
      </c>
      <c r="B177" s="493">
        <v>43089</v>
      </c>
      <c r="C177" s="494" t="s">
        <v>771</v>
      </c>
      <c r="D177" s="494" t="s">
        <v>427</v>
      </c>
      <c r="E177" s="495">
        <v>67031.25</v>
      </c>
      <c r="F177" s="494" t="s">
        <v>249</v>
      </c>
      <c r="G177" s="494" t="s">
        <v>250</v>
      </c>
      <c r="H177" s="436" t="s">
        <v>278</v>
      </c>
      <c r="I177" s="436" t="s">
        <v>712</v>
      </c>
      <c r="J177" s="409"/>
      <c r="K177" s="410"/>
      <c r="L177" s="411"/>
    </row>
    <row r="178" spans="1:12" ht="37.5" customHeight="1">
      <c r="A178" s="492">
        <v>176</v>
      </c>
      <c r="B178" s="493">
        <v>43089</v>
      </c>
      <c r="C178" s="494" t="s">
        <v>780</v>
      </c>
      <c r="D178" s="494" t="s">
        <v>277</v>
      </c>
      <c r="E178" s="495">
        <v>2</v>
      </c>
      <c r="F178" s="436" t="s">
        <v>375</v>
      </c>
      <c r="G178" s="436" t="s">
        <v>233</v>
      </c>
      <c r="H178" s="436" t="s">
        <v>278</v>
      </c>
      <c r="I178" s="436" t="s">
        <v>308</v>
      </c>
      <c r="J178" s="409"/>
      <c r="K178" s="410"/>
      <c r="L178" s="411"/>
    </row>
    <row r="179" spans="1:12" ht="37.5" customHeight="1">
      <c r="A179" s="492">
        <v>177</v>
      </c>
      <c r="B179" s="493">
        <v>43089</v>
      </c>
      <c r="C179" s="494" t="s">
        <v>770</v>
      </c>
      <c r="D179" s="494" t="s">
        <v>427</v>
      </c>
      <c r="E179" s="495">
        <v>19658.63</v>
      </c>
      <c r="F179" s="494" t="s">
        <v>249</v>
      </c>
      <c r="G179" s="494" t="s">
        <v>250</v>
      </c>
      <c r="H179" s="436" t="s">
        <v>278</v>
      </c>
      <c r="I179" s="436" t="s">
        <v>713</v>
      </c>
      <c r="J179" s="409"/>
      <c r="K179" s="410"/>
      <c r="L179" s="411"/>
    </row>
    <row r="180" spans="1:12" ht="37.5" customHeight="1">
      <c r="A180" s="492">
        <v>178</v>
      </c>
      <c r="B180" s="493">
        <v>43089</v>
      </c>
      <c r="C180" s="494" t="s">
        <v>781</v>
      </c>
      <c r="D180" s="494" t="s">
        <v>277</v>
      </c>
      <c r="E180" s="495">
        <v>2</v>
      </c>
      <c r="F180" s="436" t="s">
        <v>375</v>
      </c>
      <c r="G180" s="436" t="s">
        <v>233</v>
      </c>
      <c r="H180" s="436" t="s">
        <v>278</v>
      </c>
      <c r="I180" s="436" t="s">
        <v>308</v>
      </c>
      <c r="J180" s="409"/>
      <c r="K180" s="410"/>
      <c r="L180" s="411"/>
    </row>
    <row r="181" ht="37.5" customHeight="1">
      <c r="E181" s="54">
        <f>SUM(E3:E180)</f>
        <v>685493.7925000001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1200" verticalDpi="1200" orientation="landscape" paperSize="9" scale="51" r:id="rId1"/>
  <headerFoot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vitolo</dc:creator>
  <cp:keywords/>
  <dc:description/>
  <cp:lastModifiedBy>Grazia</cp:lastModifiedBy>
  <cp:lastPrinted>2018-03-23T16:03:48Z</cp:lastPrinted>
  <dcterms:created xsi:type="dcterms:W3CDTF">2001-05-22T08:00:30Z</dcterms:created>
  <dcterms:modified xsi:type="dcterms:W3CDTF">2018-05-01T14:05:05Z</dcterms:modified>
  <cp:category/>
  <cp:version/>
  <cp:contentType/>
  <cp:contentStatus/>
</cp:coreProperties>
</file>