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315" tabRatio="598" activeTab="0"/>
  </bookViews>
  <sheets>
    <sheet name="Entrate" sheetId="1" r:id="rId1"/>
    <sheet name="Entrate in Previsione" sheetId="2" r:id="rId2"/>
    <sheet name="GIORNALE DELLE ENTRATE" sheetId="3" r:id="rId3"/>
    <sheet name="PARTITARIO DELLE ENTRATE" sheetId="4" r:id="rId4"/>
    <sheet name="accertamenti" sheetId="5" r:id="rId5"/>
    <sheet name="Spese " sheetId="6" r:id="rId6"/>
    <sheet name="Spese in previsione" sheetId="7" r:id="rId7"/>
    <sheet name="GIORNALE DELLE SPESE" sheetId="8" r:id="rId8"/>
    <sheet name="PARTITARIO SPESE" sheetId="9" r:id="rId9"/>
    <sheet name="DIVISIONE COMM-ISTI" sheetId="10" r:id="rId10"/>
    <sheet name="IMPEGNI" sheetId="11" r:id="rId11"/>
    <sheet name="Dimostrazione avanzo" sheetId="12" r:id="rId12"/>
    <sheet name="variazioni di bilancio" sheetId="13" r:id="rId13"/>
    <sheet name="MATRICE di controllo" sheetId="14" r:id="rId14"/>
    <sheet name="Foglio1" sheetId="15" r:id="rId15"/>
    <sheet name="Foglio2" sheetId="16" r:id="rId16"/>
  </sheets>
  <definedNames>
    <definedName name="_xlnm.Print_Area" localSheetId="0">'Entrate'!$A$1:$M$58</definedName>
    <definedName name="_xlnm.Print_Area" localSheetId="2">'GIORNALE DELLE ENTRATE'!$A$1:$I$3</definedName>
    <definedName name="_xlnm.Print_Area" localSheetId="7">'GIORNALE DELLE SPESE'!$A$1:$I$3</definedName>
    <definedName name="_xlnm.Print_Area" localSheetId="3">'PARTITARIO DELLE ENTRATE'!$A$1:$I$2</definedName>
    <definedName name="_xlnm.Print_Area" localSheetId="8">'PARTITARIO SPESE'!$A$1:$I$1</definedName>
    <definedName name="_xlnm.Print_Area" localSheetId="5">'Spese '!$A$1:$M$82</definedName>
    <definedName name="_xlnm.Print_Area" localSheetId="12">'variazioni di bilancio'!$C$1:$F$125</definedName>
    <definedName name="_xlnm.Print_Titles" localSheetId="0">'Entrate'!$1:$4</definedName>
    <definedName name="_xlnm.Print_Titles" localSheetId="2">'GIORNALE DELLE ENTRATE'!$3:$3</definedName>
    <definedName name="_xlnm.Print_Titles" localSheetId="3">'PARTITARIO DELLE ENTRATE'!$3:$3</definedName>
    <definedName name="_xlnm.Print_Titles" localSheetId="5">'Spese '!$1:$5</definedName>
  </definedNames>
  <calcPr fullCalcOnLoad="1"/>
</workbook>
</file>

<file path=xl/sharedStrings.xml><?xml version="1.0" encoding="utf-8"?>
<sst xmlns="http://schemas.openxmlformats.org/spreadsheetml/2006/main" count="6820" uniqueCount="1101">
  <si>
    <t>Ritenute erariali</t>
  </si>
  <si>
    <t>Depositi cauzionali</t>
  </si>
  <si>
    <t>Trasferimenti per investimenti da Unione Europea</t>
  </si>
  <si>
    <t>Altri proventi</t>
  </si>
  <si>
    <t>Avanzo di amministrazione</t>
  </si>
  <si>
    <t>Disavanzo di amministrazione</t>
  </si>
  <si>
    <t>VARIAZIONI in + o in -</t>
  </si>
  <si>
    <t>DENOMINAZIONE</t>
  </si>
  <si>
    <t>CHIAVE CAPITOLO</t>
  </si>
  <si>
    <t>F.E.</t>
  </si>
  <si>
    <t>ENTRATE</t>
  </si>
  <si>
    <t>F.E.0</t>
  </si>
  <si>
    <t>F.E.1</t>
  </si>
  <si>
    <t>F.E.1.01.01</t>
  </si>
  <si>
    <t>F.E.1.01.02</t>
  </si>
  <si>
    <t>F.E.1.01.03</t>
  </si>
  <si>
    <t>F.E.1.01.04</t>
  </si>
  <si>
    <t>F.E.1.01.05</t>
  </si>
  <si>
    <t>F.E.1.02</t>
  </si>
  <si>
    <t>F.E.1.01</t>
  </si>
  <si>
    <t>F.E.1.02.01</t>
  </si>
  <si>
    <t>F.E.1.02.02</t>
  </si>
  <si>
    <t>F.E.1.03</t>
  </si>
  <si>
    <t>F.E.1.03.01</t>
  </si>
  <si>
    <t>F.E.1.03.02</t>
  </si>
  <si>
    <t>F.E.1.04</t>
  </si>
  <si>
    <t>F.E.1.04.01</t>
  </si>
  <si>
    <t>F.E.1.04.02</t>
  </si>
  <si>
    <t>F.E.2</t>
  </si>
  <si>
    <t>F.E.2.05</t>
  </si>
  <si>
    <t>F.E.2.05.01</t>
  </si>
  <si>
    <t>F.E.2.05.02</t>
  </si>
  <si>
    <t>F.E.2.05.03</t>
  </si>
  <si>
    <t>F.E.2.05.04</t>
  </si>
  <si>
    <t>F.E.2.05.05</t>
  </si>
  <si>
    <t>F.E.2.06</t>
  </si>
  <si>
    <t>F.E.2.06.02</t>
  </si>
  <si>
    <t>F.E.2.06.03</t>
  </si>
  <si>
    <t>F.E.2.06.04</t>
  </si>
  <si>
    <t>F.E.2.06.05</t>
  </si>
  <si>
    <t>F.E.3</t>
  </si>
  <si>
    <t>F.E.3.08.01</t>
  </si>
  <si>
    <t>Trasferimenti per investimenti da altri Enti pubblici</t>
  </si>
  <si>
    <t>PARTITE DI GIRO</t>
  </si>
  <si>
    <t>Ritenute previdenziali</t>
  </si>
  <si>
    <t>TOTALE GENERALE ENTRATE</t>
  </si>
  <si>
    <t>F.S.</t>
  </si>
  <si>
    <t>SPESE</t>
  </si>
  <si>
    <t>F.S.1</t>
  </si>
  <si>
    <t>F.S.1.01.01</t>
  </si>
  <si>
    <t>F.S.1.01.02</t>
  </si>
  <si>
    <t>F.S.1.02</t>
  </si>
  <si>
    <t>F.S.1.02.01</t>
  </si>
  <si>
    <t>F.S.1.02.02</t>
  </si>
  <si>
    <t>F.S.1.02.03</t>
  </si>
  <si>
    <t>F.S.1.03</t>
  </si>
  <si>
    <t>F.S.1.03.01</t>
  </si>
  <si>
    <t>F.S.1.03.02</t>
  </si>
  <si>
    <t>F.S.1.03.03</t>
  </si>
  <si>
    <t>F.S.1.04</t>
  </si>
  <si>
    <t>F.S.1.04.01</t>
  </si>
  <si>
    <t>F.S.2</t>
  </si>
  <si>
    <t>F.S.3</t>
  </si>
  <si>
    <t>F.S.0</t>
  </si>
  <si>
    <t>F.S.1.01</t>
  </si>
  <si>
    <t>F.S.1.03.04</t>
  </si>
  <si>
    <t>F.S.1.03.05</t>
  </si>
  <si>
    <t>F.S.1.03.06</t>
  </si>
  <si>
    <t>SPESE PER ATTIVITA' ISTITUZIONALI</t>
  </si>
  <si>
    <t>Materiale di consumo</t>
  </si>
  <si>
    <t>Spese di rappresentanza</t>
  </si>
  <si>
    <t>Spese postali</t>
  </si>
  <si>
    <t>Spese telefoniche</t>
  </si>
  <si>
    <t>Assicurazioni</t>
  </si>
  <si>
    <t>Noleggio attrezzature, fotocopiatrici, veicoli</t>
  </si>
  <si>
    <t>F.S.2.08</t>
  </si>
  <si>
    <t>F.S.2.08.01</t>
  </si>
  <si>
    <t>F.S.2.08.02</t>
  </si>
  <si>
    <t>F.S.3.09.01</t>
  </si>
  <si>
    <t>F.S.3.09.02</t>
  </si>
  <si>
    <t>ONERI FINANZIARI</t>
  </si>
  <si>
    <t>ONERI TRIBUTARI</t>
  </si>
  <si>
    <t>SPESE NON CLASSIFICABILI IN ALTRE VOCI</t>
  </si>
  <si>
    <t>TRASFERIMENTI CORRENTI</t>
  </si>
  <si>
    <t>SPESE IN CONTO CAPITALE</t>
  </si>
  <si>
    <t>TOTALE GENERALE SPESE</t>
  </si>
  <si>
    <t>ENTRATE CORRENTI</t>
  </si>
  <si>
    <t>Contributi dallo Stato</t>
  </si>
  <si>
    <t xml:space="preserve"> </t>
  </si>
  <si>
    <t>Contributi da altri Enti pubblici</t>
  </si>
  <si>
    <t>Contributi da Privati</t>
  </si>
  <si>
    <t>Contributi da Unione Europea</t>
  </si>
  <si>
    <t>TOTALE ENTRATE CORRENTI</t>
  </si>
  <si>
    <t>Altre vendite di beni e servizi</t>
  </si>
  <si>
    <t>VENDITA BENI E SERVIZI</t>
  </si>
  <si>
    <t>TOTALE VENDITA BENI E SERVIZI</t>
  </si>
  <si>
    <t>RENDITE E PROVENTI PATRIMONIALI</t>
  </si>
  <si>
    <t>Interessi attivi sui depositi</t>
  </si>
  <si>
    <t>TOTALE RENDITE E PROVENTI PATRIMONIALI</t>
  </si>
  <si>
    <t>ALTRE ENTRATE</t>
  </si>
  <si>
    <t>Rimborsi IVA</t>
  </si>
  <si>
    <t>Recuperi e rimborsi</t>
  </si>
  <si>
    <t>TOTALE ALTRE ENTRATE</t>
  </si>
  <si>
    <t>ENTRATE IN CONTO CAPITALE</t>
  </si>
  <si>
    <t>TRASFERIMENTI PER INVESTIMENTI</t>
  </si>
  <si>
    <t>TOTALE TRASFERIMENTI PER INVESTIMENTI</t>
  </si>
  <si>
    <t>TRASFERIMENTI PER RICERCA SCIENTIFICA</t>
  </si>
  <si>
    <t>F.E.2.06.01</t>
  </si>
  <si>
    <t>TOTALE TRASFERIMENTI PER RICERCA SCIENTIFICA</t>
  </si>
  <si>
    <t>ENTRATE PER ALIENAZIONE DI BENI PATRIMONIALI</t>
  </si>
  <si>
    <t>F.E.2.07.01</t>
  </si>
  <si>
    <t>F.E.2.07.02</t>
  </si>
  <si>
    <t>Realizzo di valori mobiliari</t>
  </si>
  <si>
    <t>Vendita di titoli pubblici</t>
  </si>
  <si>
    <t>TOTALE ENTRATE PER ALIENAZIONE DI BENI PATRIMONIALI</t>
  </si>
  <si>
    <t>F.E.3.08.02</t>
  </si>
  <si>
    <t>F.E.3.08.03</t>
  </si>
  <si>
    <t>F.E.3.08.04</t>
  </si>
  <si>
    <t>F.E.3.08.05</t>
  </si>
  <si>
    <t>TOTALE ENTRATE IN CONTO CAPITALE</t>
  </si>
  <si>
    <t>TOTALE PARTITE DI GIRO</t>
  </si>
  <si>
    <t>SPESE CORRENTI</t>
  </si>
  <si>
    <t>SPESE PER IL FUNZIONAMENTO ORGANI</t>
  </si>
  <si>
    <t>TOTALE SPESE PER IL FUNZIONAMENTO ORGANI</t>
  </si>
  <si>
    <t>Spese funzionamento Organi amministrativi</t>
  </si>
  <si>
    <t>Indennità di missione e rimborsi spese</t>
  </si>
  <si>
    <t>Spese consulenze tecniche e amministrative</t>
  </si>
  <si>
    <t>Organizzazione e programmazione attività culturali, congressi, eventi</t>
  </si>
  <si>
    <t>Assegni di ricerca e borse di studio</t>
  </si>
  <si>
    <t>SPESE PER ACQUISTO DI BENI E SERVIZI</t>
  </si>
  <si>
    <t>Acquisto libri e riviste (non invent.)</t>
  </si>
  <si>
    <t>F.S.1.03.07</t>
  </si>
  <si>
    <t>F.S.1.03.08</t>
  </si>
  <si>
    <t>F.S.1.03.09</t>
  </si>
  <si>
    <t>F.S.1.03.10</t>
  </si>
  <si>
    <t>F.S.1.03.11</t>
  </si>
  <si>
    <t>F.S.1.03.12</t>
  </si>
  <si>
    <t>TOTALE SPESE PER ACQUISTO DI BENI E SERVIZI</t>
  </si>
  <si>
    <t>Interessi passivi</t>
  </si>
  <si>
    <t>TOTALE ONERI FINANZIARI</t>
  </si>
  <si>
    <t>F.S.1.05</t>
  </si>
  <si>
    <t>F.S.1.05.01</t>
  </si>
  <si>
    <t>Imposte, tasse e tributi vari</t>
  </si>
  <si>
    <t>Versamenti I.V.A.</t>
  </si>
  <si>
    <t>F.S.1.06</t>
  </si>
  <si>
    <t>TOTALE ONERI TRIBUTARI</t>
  </si>
  <si>
    <t>POSTE CORRETTIVE DI ENTRATE CORRENTI</t>
  </si>
  <si>
    <t>F.S.1.06.01</t>
  </si>
  <si>
    <t>TOTALE POSTE CORRETTIVE DI ENTRATE CORRENTI</t>
  </si>
  <si>
    <t>F.S.1.07</t>
  </si>
  <si>
    <t>Oneri straordinari</t>
  </si>
  <si>
    <t>Fondo di Riserva</t>
  </si>
  <si>
    <t>F.S.1.07.01</t>
  </si>
  <si>
    <t>F.S.1.07.02</t>
  </si>
  <si>
    <t>TOTALE SPESE NON CLASSIFICABILI IN ALTRE VOCI</t>
  </si>
  <si>
    <t>TOTALE SPESE CORRENTI</t>
  </si>
  <si>
    <t>TOTALE TRASFERIMENTI CORRENTI</t>
  </si>
  <si>
    <t>Manutenzioni e riparazioni</t>
  </si>
  <si>
    <t>Acquisto e gestione software</t>
  </si>
  <si>
    <t>Spese amministrative generali</t>
  </si>
  <si>
    <t>ACQUISTO DI BENI DUREVOLI</t>
  </si>
  <si>
    <t>F.S.2.08.03</t>
  </si>
  <si>
    <t>F.S.2.08.04</t>
  </si>
  <si>
    <t>Acquisto attrezzature scientifiche</t>
  </si>
  <si>
    <t>Acquisto mobili, arredi e macchine da ufficio</t>
  </si>
  <si>
    <t>Manutenzione straordinaria</t>
  </si>
  <si>
    <t>Investimenti finanziari</t>
  </si>
  <si>
    <t>TOTALE ACQUISTO DI BENI DUREVOLI</t>
  </si>
  <si>
    <t>TOTALE SPESE IN CONTO CAPITALE</t>
  </si>
  <si>
    <t>SPESE AVENTI NATURA DI PARTITE DI GIRO</t>
  </si>
  <si>
    <t>F.S.3.09.03</t>
  </si>
  <si>
    <t>Ritenute extra-erariali</t>
  </si>
  <si>
    <t>Fondo economale</t>
  </si>
  <si>
    <t>F.S.3.09.04</t>
  </si>
  <si>
    <t>F.S.3.09.05</t>
  </si>
  <si>
    <t>TOTALE SPESE AVENTI NATURA DI PARTITE DI GIRO</t>
  </si>
  <si>
    <t>Contributi da altri Enti di ricerca</t>
  </si>
  <si>
    <t>Trasferimenti per investimenti dallo Stato</t>
  </si>
  <si>
    <t>Trasferimenti per investimenti da Privati</t>
  </si>
  <si>
    <t>Trasferimenti per investimenti da altri Enti di Ricerca</t>
  </si>
  <si>
    <t>Trasferimenti per ricerca dallo Stato</t>
  </si>
  <si>
    <t>Trasferimenti per ricerca da altri Enti pubblici</t>
  </si>
  <si>
    <t>Trasferimenti per ricerca da Privati</t>
  </si>
  <si>
    <t>Trasferimenti per ricerca da Unione Europea</t>
  </si>
  <si>
    <t>Trasferimenti per ricerca da altri Enti di Ricerca</t>
  </si>
  <si>
    <t>TOTALE SPESE PER ATTIVITA' ISTITUZIONALI</t>
  </si>
  <si>
    <t>Fitti locali e spese condominiali</t>
  </si>
  <si>
    <t>Spese di trasporto, facchinaggio, smaltimento rifiuti</t>
  </si>
  <si>
    <t>Recuperi e rimborsi diversi</t>
  </si>
  <si>
    <t>Prestazioni a pagamento</t>
  </si>
  <si>
    <t>F.E.1.02.03</t>
  </si>
  <si>
    <t>Contratti e Convenzioni</t>
  </si>
  <si>
    <t>CONSORZIO INTERUNIVERSITARIO PER L'OTTIMIZZAZIONE E LA RICERCA OPERATIVA</t>
  </si>
  <si>
    <t>F.S.4</t>
  </si>
  <si>
    <t>F.S.4.09</t>
  </si>
  <si>
    <t>F.S 3.08.01</t>
  </si>
  <si>
    <t>F.S 3.08</t>
  </si>
  <si>
    <t>TOTALE TRASFERIMENTI</t>
  </si>
  <si>
    <t>TRASFERIMENTI</t>
  </si>
  <si>
    <t>TRASFERIMENTI VS CONSORZIATI</t>
  </si>
  <si>
    <t>Trasferimento vs enti consorziati</t>
  </si>
  <si>
    <t>F.E.1.01.06</t>
  </si>
  <si>
    <t>Contributi da Consorziati</t>
  </si>
  <si>
    <t>F.S.1.08</t>
  </si>
  <si>
    <t>SPESE PER ATTIVITA' IN CONTO TERZI</t>
  </si>
  <si>
    <t>F.S.1.08.01</t>
  </si>
  <si>
    <t>Prestazioni  di servizi</t>
  </si>
  <si>
    <t>F.S.1.08.02</t>
  </si>
  <si>
    <t>Contratti e convenzioni</t>
  </si>
  <si>
    <t>TOTALE SPESE PER ATTIVITA' IN CONTO TERZI</t>
  </si>
  <si>
    <t>Ragione sociale beneficiario</t>
  </si>
  <si>
    <t>Importo</t>
  </si>
  <si>
    <t>Capitolo</t>
  </si>
  <si>
    <t>Descrizione Capitolo</t>
  </si>
  <si>
    <t>Descizione</t>
  </si>
  <si>
    <t>Unicredit</t>
  </si>
  <si>
    <t>Mauro Dell'Amico</t>
  </si>
  <si>
    <t>F.S.1,01,02</t>
  </si>
  <si>
    <t>Aruba s.p.A.</t>
  </si>
  <si>
    <t>F.S.1,03,11</t>
  </si>
  <si>
    <t>F.S.1,02,01</t>
  </si>
  <si>
    <t>Erario</t>
  </si>
  <si>
    <t>F.S.1,05,01</t>
  </si>
  <si>
    <t>Versamenti Iva</t>
  </si>
  <si>
    <t>F.S.1,03,05</t>
  </si>
  <si>
    <t>Iscrizione camera di commercio Bologna</t>
  </si>
  <si>
    <t>Camera di commercio di Bologna</t>
  </si>
  <si>
    <t>Ragione sociale versante</t>
  </si>
  <si>
    <t>F.S.1,04,02</t>
  </si>
  <si>
    <t>F.S.1,05,02</t>
  </si>
  <si>
    <t>F.S.1.05.02</t>
  </si>
  <si>
    <t>Compenso ai revisori dei conti</t>
  </si>
  <si>
    <t>F.S.1,01,01</t>
  </si>
  <si>
    <t>Compenso segretaria amministrativa</t>
  </si>
  <si>
    <t>Compenso commercialista</t>
  </si>
  <si>
    <t>Missioni del Direttore per il consorzio in genere</t>
  </si>
  <si>
    <t>Organizzazione eventi</t>
  </si>
  <si>
    <t>Grazia Cattani</t>
  </si>
  <si>
    <t>Diversi</t>
  </si>
  <si>
    <t>F.S.1,02,02</t>
  </si>
  <si>
    <t>Organizzazione e programmazione attività culturali, congressi, event</t>
  </si>
  <si>
    <t>Rinnovo dominio Icoor.it e icoor.org + varie</t>
  </si>
  <si>
    <t>FS.1.04.02</t>
  </si>
  <si>
    <t>Commissioni bancarie</t>
  </si>
  <si>
    <t>Riscossioni totali</t>
  </si>
  <si>
    <t>Pagamenti totali</t>
  </si>
  <si>
    <t xml:space="preserve">FONDO DI CASSA </t>
  </si>
  <si>
    <t>Crediti</t>
  </si>
  <si>
    <t>(residui attivi)</t>
  </si>
  <si>
    <t>Debiti</t>
  </si>
  <si>
    <t>(residui passivi)</t>
  </si>
  <si>
    <t>F.S.1,03,02</t>
  </si>
  <si>
    <t>Dott.Graziosi</t>
  </si>
  <si>
    <t>Inps</t>
  </si>
  <si>
    <t>F.S.2.09</t>
  </si>
  <si>
    <t>SPESE PER RICERCA SCIENTIFICA</t>
  </si>
  <si>
    <t>F.S.2.09.01</t>
  </si>
  <si>
    <t>Spese per ricerca dallo Stato</t>
  </si>
  <si>
    <t>F.S.2.09.02</t>
  </si>
  <si>
    <t>Spese per ricerca da altri Enti pubblici</t>
  </si>
  <si>
    <t>F.S.2.09.03</t>
  </si>
  <si>
    <t>Spese per ricerca da Privati</t>
  </si>
  <si>
    <t>F.S.2.09.04</t>
  </si>
  <si>
    <t>Spese per ricerca da Unione Europea</t>
  </si>
  <si>
    <t>F.S.2.09.05</t>
  </si>
  <si>
    <t>Spese per ricerca da altri Enti di Ricerca</t>
  </si>
  <si>
    <t>TOTALE SPESE PER RICERCA</t>
  </si>
  <si>
    <t>Spese postali da rimborsare alla segretaria</t>
  </si>
  <si>
    <t>Costi di tenuta conto</t>
  </si>
  <si>
    <t>Versamenti all'Erario</t>
  </si>
  <si>
    <t>Versamenti all'Inps</t>
  </si>
  <si>
    <t>TOTALI LIQUIDI IN BANCA</t>
  </si>
  <si>
    <t>DESTINAZIONE AVANZO DI AMMINISTRAZIONE</t>
  </si>
  <si>
    <t>Avanzo di amministrazione totale</t>
  </si>
  <si>
    <t>F.S.1.02.04</t>
  </si>
  <si>
    <t>Quote associative</t>
  </si>
  <si>
    <t>F.S.1,02,03</t>
  </si>
  <si>
    <t>Iscrizione annuale ad Ertico</t>
  </si>
  <si>
    <t>Ertico</t>
  </si>
  <si>
    <t>GIORNALE CRONOLOGICO DELLE ENTRATE</t>
  </si>
  <si>
    <t>N.</t>
  </si>
  <si>
    <t>Data incasso</t>
  </si>
  <si>
    <t>C/R</t>
  </si>
  <si>
    <t>Numero</t>
  </si>
  <si>
    <t>ICOOR</t>
  </si>
  <si>
    <t>GIORNALE CRONOLOGICO DELLE SPESE</t>
  </si>
  <si>
    <t>Data pagamento</t>
  </si>
  <si>
    <t>Descrizione</t>
  </si>
  <si>
    <t>c/r</t>
  </si>
  <si>
    <t>Progetto</t>
  </si>
  <si>
    <t>N. impegno</t>
  </si>
  <si>
    <t>Alessandro Saccani</t>
  </si>
  <si>
    <t>Sergio Graziosi</t>
  </si>
  <si>
    <t>UNICREDIT BANCA</t>
  </si>
  <si>
    <t>C</t>
  </si>
  <si>
    <t>R</t>
  </si>
  <si>
    <t>ERARIO C/IRPEF</t>
  </si>
  <si>
    <t>Interessi attivi su depositi</t>
  </si>
  <si>
    <t>ID4EV</t>
  </si>
  <si>
    <t>ERARIO C/IVA</t>
  </si>
  <si>
    <t>ERARIO C/INPS</t>
  </si>
  <si>
    <t>PREVISIONI DEFINITIVE</t>
  </si>
  <si>
    <t>IMPEGNATO</t>
  </si>
  <si>
    <t>PAGATO in c/competenza</t>
  </si>
  <si>
    <t>RIMASTO DA PAGARE</t>
  </si>
  <si>
    <t>DIFFERENZA RISPETTO ALLE PREVISIONI</t>
  </si>
  <si>
    <t>PAGATO TOTALE</t>
  </si>
  <si>
    <t>ACCERTATO</t>
  </si>
  <si>
    <t>RISCOSSO in c/competenza</t>
  </si>
  <si>
    <t>RISCOSSO in c/residui</t>
  </si>
  <si>
    <t>RISCOSSO totale</t>
  </si>
  <si>
    <t>Incasso interessi attivi su depositi</t>
  </si>
  <si>
    <t xml:space="preserve">Stanziamento interessi attivi su depositi </t>
  </si>
  <si>
    <t>VALUE TEAM</t>
  </si>
  <si>
    <t>- Avanzo vincolato da entrate commerciali</t>
  </si>
  <si>
    <t>ERARIO C/INAIL</t>
  </si>
  <si>
    <t>Totale</t>
  </si>
  <si>
    <t>RESIDUI PASSIVI</t>
  </si>
  <si>
    <t xml:space="preserve">Residuo </t>
  </si>
  <si>
    <t>RESIDUI ATTIVI</t>
  </si>
  <si>
    <t>Unione Europea</t>
  </si>
  <si>
    <t>Versamenti Inail</t>
  </si>
  <si>
    <t>Inail</t>
  </si>
  <si>
    <t>ARMESI</t>
  </si>
  <si>
    <t>DEVICE</t>
  </si>
  <si>
    <t>RE:LAB</t>
  </si>
  <si>
    <t>MONASH UNIVERSITY</t>
  </si>
  <si>
    <t>LOUGHBOROUGH UNIVERSITY</t>
  </si>
  <si>
    <t>SMARTCEM</t>
  </si>
  <si>
    <t>ALESSANDRO SACCANI</t>
  </si>
  <si>
    <t>SERGIO GRAZIOSI</t>
  </si>
  <si>
    <t xml:space="preserve">Recuperi e rimborsi </t>
  </si>
  <si>
    <t>CABASSI</t>
  </si>
  <si>
    <t>NATALIA HADJIDIMITRIOU</t>
  </si>
  <si>
    <t>CHIARA FERRARINI</t>
  </si>
  <si>
    <t>ERTICO</t>
  </si>
  <si>
    <t>RITENUTE</t>
  </si>
  <si>
    <t>NOTE</t>
  </si>
  <si>
    <t>NETTO VERSATO</t>
  </si>
  <si>
    <t>Somma ritenute</t>
  </si>
  <si>
    <t>WARRANT GROUP</t>
  </si>
  <si>
    <t>- Avanzo vincolato progetti istituzionali</t>
  </si>
  <si>
    <t>Dallara</t>
  </si>
  <si>
    <t>PARTITARIO DELLE ENTRATE</t>
  </si>
  <si>
    <t>PARTITARIO DELLE SPESE</t>
  </si>
  <si>
    <t>3 rata del contratto</t>
  </si>
  <si>
    <t>Iva su 3 rata</t>
  </si>
  <si>
    <t>Finanziamento Hero</t>
  </si>
  <si>
    <t>Conto consuntivo 2013</t>
  </si>
  <si>
    <t>Attività istituzionale</t>
  </si>
  <si>
    <t xml:space="preserve">Importo finanziato </t>
  </si>
  <si>
    <t>Quota annua</t>
  </si>
  <si>
    <t>Prelievo</t>
  </si>
  <si>
    <t>Disponibile</t>
  </si>
  <si>
    <t>Attività commerciale</t>
  </si>
  <si>
    <t>DALLARA AUTOMOBILI SPA</t>
  </si>
  <si>
    <t>DALLARA 1</t>
  </si>
  <si>
    <t>FURLA</t>
  </si>
  <si>
    <t>SEWS CABIND</t>
  </si>
  <si>
    <t>OHB-CGS</t>
  </si>
  <si>
    <t xml:space="preserve">DALLARA 2 </t>
  </si>
  <si>
    <t>COMUNE DI REGGIO EMILIA</t>
  </si>
  <si>
    <t>MOBILITY 2.0</t>
  </si>
  <si>
    <t>ELISA LANDINI</t>
  </si>
  <si>
    <t>CATERINA CALEFATO</t>
  </si>
  <si>
    <t>VERSAMENTO INPS COMPENSI DI FEBBRAIO</t>
  </si>
  <si>
    <t>GESTIONE CONSORZIO</t>
  </si>
  <si>
    <t>EMMEDELTA CONSULTING S.R.L.</t>
  </si>
  <si>
    <t>TRE ESSE ITALIA SRL</t>
  </si>
  <si>
    <t>DUEMME</t>
  </si>
  <si>
    <t>DESERVE</t>
  </si>
  <si>
    <t>CALIFORNIA DREAMING SNC</t>
  </si>
  <si>
    <t>FERRARINI CHIARA</t>
  </si>
  <si>
    <t>DELL'AMICO MAURO</t>
  </si>
  <si>
    <t>LANDINI ELISA</t>
  </si>
  <si>
    <t>GALLI LAURA</t>
  </si>
  <si>
    <t>FRUTTALDO SERENA</t>
  </si>
  <si>
    <t>HADJIDIMITRIOU NATALIA</t>
  </si>
  <si>
    <t>HERO 2</t>
  </si>
  <si>
    <t>CALEFATO CATERINA</t>
  </si>
  <si>
    <t>CHALMERS TEKNISKA HOEGSKOLA</t>
  </si>
  <si>
    <t>ERARIO C/IRAP</t>
  </si>
  <si>
    <t>ERARIO C/IRES</t>
  </si>
  <si>
    <t>CITILOG</t>
  </si>
  <si>
    <t>IVA</t>
  </si>
  <si>
    <t>CGS</t>
  </si>
  <si>
    <t>COMPETENZE DI LIQUIDAZIONE</t>
  </si>
  <si>
    <t>IMPOSTA BOLLO CONTO CORRENTE DPR642/72-DM24/5/2012</t>
  </si>
  <si>
    <t>MAURO DELL'AMICO</t>
  </si>
  <si>
    <t>VERSAMENTO RITENUTE (SACCANII, CATTANI, GRAZIOSI)</t>
  </si>
  <si>
    <t>COMPENSO DOTT.SSA CATTANI II SEM 2013</t>
  </si>
  <si>
    <t>COMPENSO ATTIVITA' 2013</t>
  </si>
  <si>
    <t>COMPENSO REVISORE 2013</t>
  </si>
  <si>
    <t xml:space="preserve"> Assestamento Recuperi e rimborsi - Girofondi e arrotondamenti</t>
  </si>
  <si>
    <t>Assestamento partite di giro</t>
  </si>
  <si>
    <t>Commissione europea</t>
  </si>
  <si>
    <t>DA UNITRIESTE PER ERTICO 2013</t>
  </si>
  <si>
    <t>UNIVERSITA' DI TRIESTE</t>
  </si>
  <si>
    <t>SALDO CITILOG</t>
  </si>
  <si>
    <t>QUOTA CITILOG DA TRASFERIRE AD UNIMORE</t>
  </si>
  <si>
    <t>Unimore</t>
  </si>
  <si>
    <t>Spese per ricerca da Unione europea</t>
  </si>
  <si>
    <t>PROGETTO DESERVE</t>
  </si>
  <si>
    <t>1/2013</t>
  </si>
  <si>
    <t>2/2013</t>
  </si>
  <si>
    <t>3/2013</t>
  </si>
  <si>
    <t>4/2013</t>
  </si>
  <si>
    <t>5/2013</t>
  </si>
  <si>
    <t>6/2013</t>
  </si>
  <si>
    <t>7/2013</t>
  </si>
  <si>
    <t>VERSAMENTO INAIL 2013 SALDO</t>
  </si>
  <si>
    <t>IMP.8/12</t>
  </si>
  <si>
    <t>VERSAMENTO INPS COMPENSI DI DICEMBRE (CO.CO.CO.)</t>
  </si>
  <si>
    <t>ACC.18/12</t>
  </si>
  <si>
    <t>ARROTONDAMENTI IRPEF</t>
  </si>
  <si>
    <t>DIVERSI</t>
  </si>
  <si>
    <t>ACC. 19/12</t>
  </si>
  <si>
    <t>ARROTONDAMENTI INPS</t>
  </si>
  <si>
    <t>ACC. 20/12</t>
  </si>
  <si>
    <t>QUADRATURA INAIL</t>
  </si>
  <si>
    <t>ARROTONDAMENTO PREVIDENZIALE</t>
  </si>
  <si>
    <t>Erario C/INPS</t>
  </si>
  <si>
    <t xml:space="preserve">Credito IRPEF </t>
  </si>
  <si>
    <t>MANCATO VERSAMENTO RITENUTE FURINI E DIAZ</t>
  </si>
  <si>
    <t>QUOTA DESERVE DA TRASFERIRE AD UNIMORE</t>
  </si>
  <si>
    <t>8/2013</t>
  </si>
  <si>
    <t>9/2013</t>
  </si>
  <si>
    <t>10/2013</t>
  </si>
  <si>
    <t>IMPRENDO ONE EDIZIONE 1  COSTO FISSO MESE DI DICEMBRE 2013</t>
  </si>
  <si>
    <t>DISPOSIZIONE DI BONIFICO BONIFICO SEPA A  TRE ESSE ITALIA SRL PER  ft. 287 del 9/12/2013 ANTICIPATO GE N -FEB-MAR 2014 TRN 1201140080014966</t>
  </si>
  <si>
    <t>Contratti e convenzioni, Spese per ricerca da Unione Europea</t>
  </si>
  <si>
    <t>HERO 2, SEWS CABIND</t>
  </si>
  <si>
    <t>SEWS CABIND, DESERVE</t>
  </si>
  <si>
    <t>DISPOSIZIONE DI BONIFICO BONIFICO SEPA A  ELISA LANDINI PER  COMPENSO DICEMBRE 2013 COMM              0,00 SPESE              0,00 TRN 1101140080015081</t>
  </si>
  <si>
    <t>DEVICE, HERO 2, SEWS CABIND</t>
  </si>
  <si>
    <t>DISPOSIZIONE DI BONIFICO BONIFICO SEPA A  EMMEDELTA CONSULTING S.R.L. PER  FT. 151 DEL 31/12/2013 COMM              0,00 SPESE              0,00 TRN 1101140120013565</t>
  </si>
  <si>
    <t>DISPOSIZIONE DI BONIFICO BONIFICO SEPA A  WARRANT GROUP S.R.L. PER  FT. 4323 DEL 31/12/2013 COMM              0,00 SPESE              0,00 TRN 1101140120013700</t>
  </si>
  <si>
    <t>DISPOSIZIONE DI BONIFICO BONIFICO SEPA A  EMMEDELTA CONSULTING S.R.L. PER  FATTURA 148 DEL 31/12/2013 COMM              0,00 SPESE              0,00 TRN 1101140120013628</t>
  </si>
  <si>
    <t>DISPOSIZIONE DI BONIFICO BONIFICO SEPA A  CALIFORNIA DREAMING SNC PER  ESTRATTO CONTO 100 DEL 20/12/2013 D ELL AMICO BRUSSELS 18-19/12/2013 TRN 1201140150043953</t>
  </si>
  <si>
    <t>DISPOSIZIONE DI BONIFICO BONIFICO SEPA A  DOTT. SERGIO GRAZIOSI PER  NOTA PROFORMA 14/1/2014 ATTIVITA  2 013 TRN 1101140150044074</t>
  </si>
  <si>
    <t>DOTT. GRAZIOSI SERGIO</t>
  </si>
  <si>
    <t>BONIFICO A VOSTRO FAVORE DA DELL AMICO MAURO PER TRASFERIMENTO FONDI CRO OPERAZIONE 17826769104</t>
  </si>
  <si>
    <t>IMPRENDO ONE EDIZIONE 1  COSTO FISSO MESE DI GENNAIO 2014</t>
  </si>
  <si>
    <t>DISPOSIZIONE DI BONIFICO BONIFICO SEPA A  DUEMME PER  VS FATTURA 12 DEL 25/01/2014 COMM              0,00 SPESE              0,00 TRN 1101140310242389</t>
  </si>
  <si>
    <t>DISPOSIZIONE DI BONIFICO BONIFICO SEPA A  ARMESI PER  QUOTA ASSOCIATIVA 2014 - NOTA DI DE BITO 2/2014 TRN 1101140310242431</t>
  </si>
  <si>
    <t>SEWS CABIND, DEVICE</t>
  </si>
  <si>
    <t>DISPOSIZIONE DI BONIFICO BONIFICO SEPA A  MAURO DELL AMICO PER  RESTITUZIONE FONDI VERSATI PER ERRO RE A MAURO DELL AMICO TRN 1201140310242300</t>
  </si>
  <si>
    <t>DISPOSIZIONE DI BONIFICO BONIFICO SEPA A  ALESSANDRO SACCANI PER  PROFORMA DEL 31/01/2014 COMM              0,00 SPESE              0,00 TRN 1201140310242500</t>
  </si>
  <si>
    <t>SACCANI ALESSANDRO</t>
  </si>
  <si>
    <t>DISPOSIZIONE DI BONIFICO BONIFICO SEPA A  ERTICO PER  ERTICO FEES NO. 2014/020 COMM              0,00 SPESE              0,00 TRN 1101140480167038</t>
  </si>
  <si>
    <t>DISPOSIZIONE DI BONIFICO BONIFICO SEPA A  SILVIA CABASSI PER  FATTURA 16 DEL 16/01/2014 COMM              0,00 SPESE              0,00 TRN 1101140500200291</t>
  </si>
  <si>
    <t>CABASSI SILVIA</t>
  </si>
  <si>
    <t>DISPOSIZIONE DI BONIFICO BONIFICO SEPA A  GRAZIA CATTANI PER  COMPENSO II RATA 2013 COMM              0,00 SPESE              0,00 TRN 1101140500201061</t>
  </si>
  <si>
    <t>CATTANI GRAZIA</t>
  </si>
  <si>
    <t>DISPOSIZIONE DI BONIFICO BONIFICO SEPA A  MAURO DELL AMICO PER  MISSIONE ERTICO 31/01/2014 ATENE ME ETING PROPOSTA MG5.3 (FURLA) TRN 1201140500202185</t>
  </si>
  <si>
    <t>DISPOSIZIONE DI BONIFICO BONIFICO SEPA A  MAURO DELL AMICO PER  MISSIONE BRUSSELS ERTICO 23/24-01-1 4 MEETING VRA + MEETING AWG (FURLA) TRN 1201140500202516</t>
  </si>
  <si>
    <t>DISPOSIZIONE DI BONIFICO BONIFICO SEPA A  MAURO DELL AMICO PER  RIMBORSI  MISSIONE A BOLOGNA ASSEMB LEA + MISSIONE A BRESCIA ALOT + MIS TRN 1201140500202979</t>
  </si>
  <si>
    <t>DISPOSIZIONE DI BONIFICO BONIFICO SEPA A  MAURO DELL AMICO PER  MISSIONE A FORNOVO IL 15/01/2014 (D ALLARA2) TRN 1201140510218094</t>
  </si>
  <si>
    <t>DISPOSIZIONE DI BONIFICO BONIFICO SEPA A  MAURO DELL AMICO PER  MISSIONE A BRUSSELS IL 31 GENNAIO 2 014 (FURLA) TRN 1201140510218738</t>
  </si>
  <si>
    <t>IMPRENDO ONE EDIZIONE 1  COSTO FISSO MESE DI FEBBRAIO 2014</t>
  </si>
  <si>
    <t>DISPOSIZIONE DI BONIFICO BONIFICO SEPA A  NATALIA HADJIDIMITRIOU PER  MISSIONE A BRUSSELS 24-26 FEBBRAIO 2014 HEERO2 TRN 1101140680015890</t>
  </si>
  <si>
    <t>DISPOSIZIONE DI BONIFICO BONIFICO SEPA A  MAURO DELL AMICO PER  RIMBORSI SPESE VARI COMM              0,00 SPESE              0,00 TRN 1201140680017797</t>
  </si>
  <si>
    <t>BONIFICO A VOSTRO FAVORE DA FIAT FINANCE SPA PER ORD. C.R.F. SOC. CONSORTIL E PER AZI PAGAM PROGETTO CITYLOG CENTRO RICERCHE F IAT CRO OPERAZIONE 90397488306</t>
  </si>
  <si>
    <t>MANDATI DI PAGAMENTO O.C. POLITECNICO DI TORINO     M. 0004825 0000001 Generico Uscita - - - Pag. Quota Associativa anno 2014 - ERTICO 2014 -prof. R. Tadei-Politecnico di Torino DAUIN - 2014</t>
  </si>
  <si>
    <t>POLITECNICO DI TORINO</t>
  </si>
  <si>
    <t>DISPOSIZIONE DI BONIFICO BONIFICO SEPA A  SERENA FRUTTALDO PER  RIMBORSO SERENA FRUTTALDO ISCRIZION E CONFERENZA TRA2014 DESERVE TRN 1101140810019478</t>
  </si>
  <si>
    <t>DISPOSIZIONE DI BONIFICO BONIFICO SEPA A  CALIFORNIA DREAMING SNC PER  ESTRATTO CONTO 21 DEL 28/02/2014 FA TTURA 21 DEVICE TRN 1201140810019723</t>
  </si>
  <si>
    <t>DISPOSIZIONE DI BONIFICO BONIFICO SEPA A  CALIFORNIA DREAMING SNC PER  ESTRATTO CONTO 5 DEL 30/01/2014 DEV ICE TRN 1201140810019788</t>
  </si>
  <si>
    <t>DISPOSIZIONE DI BONIFICO BONIFICO SEPA A  CALIFORNIA DREAMING SNC PER  ESTRATTO CONTO 19 E FATTURA 19 DEL 28/02/2014 DEVICE TRN 1201140810019846</t>
  </si>
  <si>
    <t>DISPOSIZIONE DI BONIFICO BONIFICO SEPA A  CALIFORNIA DREAMING SNC PER  ESTRATTO CONTO 20 E FATTURA 20 DEL 28/02/2014 DEVICE TRN 1201140810019899</t>
  </si>
  <si>
    <t>DISPOSIZIONE DI BONIFICO BONIFICO SEPA A  CATERINA CALEFATO PER  RIMBORSO CENA MEETING FINALE DEVICE  5/3/2013 TRN 1101140810020111</t>
  </si>
  <si>
    <t>DISPOSIZIONE DI BONIFICO BONIFICO SEPA A  CATERINA CALEFATO PER  RIMBORSO ACQUISTO VIAGGI FINAL EVEN T PROGETTO DEVICE TRN 1101140810020402</t>
  </si>
  <si>
    <t>DISPOSIZIONE DI BONIFICO BONIFICO SEPA A  FERRARINI CHIARA PER  RIMBORSO MARCHE DA BOLLO SEWS CABIN D TRN 1101140810020490</t>
  </si>
  <si>
    <t>DISPOSIZIONE DI BONIFICO BONIFICO SEPA A  MAURO DELL AMICO PER  MISSIONE A MONACO IL 25/02/2014 MEE TING PROPOSTA RFL (CGS) TRN 1201140810020710</t>
  </si>
  <si>
    <t>DISPOSIZIONE DI BONIFICO BONIFICO SEPA A  SERENA FRUTTALDO PER  MISSIONE A BRUSSELS PER REVIEW MEET ING DEL PROGETTO DESERVE 28-29/10/2 TRN 1101140810021000</t>
  </si>
  <si>
    <t>DISPOSIZIONE DI BONIFICO BONIFICO SEPA A  SERENA FRUTTALDO PER  MISSIONE A ULM PER MEETING PROGETTO  9-10/10/13 TRN 1101140810021161</t>
  </si>
  <si>
    <t>DISPOSIZIONE DI BONIFICO BONIFICO SEPA A  CALIFORNIA DREAMING SNC PER  ESTRATTO CONTO 71 DEL 26/09/13 VOLO  FRUTTALDO STOCCARDA (DESERVE) TRN 1201140810020873</t>
  </si>
  <si>
    <t>DISPOSIZIONE DI BONIFICO BONIFICO SEPA A  COMPASS GROUP ITALIA SPA PER  FATTURA NR.14106714  DEL 16/03/2014  COD.CLIENTE 1496151/0706 (DEVICE) TRN 1101140860298986</t>
  </si>
  <si>
    <t>COMPASS GROUP</t>
  </si>
  <si>
    <t>DISPOSIZIONE DI BONIFICO BONIFICO SEPA A  ALBERGO MORANDI PER  VS. FATTURA 158/2014 DEL 17/03/2014  (PROGETTO DEVICE) TRN 1101140860298343</t>
  </si>
  <si>
    <t>ALBERGO MORANDI</t>
  </si>
  <si>
    <t>DISPOSIZIONE DI BONIFICO BONIFICO SEPA A  ALBERGO MORANDI PER  VS FATTURA 157/2014 DEL 17/03/2014 COMM              0,00 SPESE              0,00 TRN 1101140860299236</t>
  </si>
  <si>
    <t>DISPOSIZIONE DI BONIFICO BONIFICO SEPA A  CALIFORNIA DREAMING SNC PER  ESTRATTO CONTO 4 DEL 16/01/2014 FRU TTALDO A GOUDA IL 7/02 (DESERVE) TRN 1201140880007809</t>
  </si>
  <si>
    <t>DISPOSIZIONE DI BONIFICO BONIFICO SEPA A  SERENA FRUTTALDO PER  MISSIONE A GOUDA 4-7/02/2014 PROGET TO DESERVE TRN 1101140880008365</t>
  </si>
  <si>
    <t>PAGAMENTI DIVERSI SALDO CITYLOG</t>
  </si>
  <si>
    <t>UNIVERSITA' DEGLI STUDI DI MOD</t>
  </si>
  <si>
    <t>IMPRENDO ONE EDIZIONE 1  COSTO FISSO MESE DI MARZO 2014</t>
  </si>
  <si>
    <t>DISPOSIZIONE DI BONIFICO BONIFICO SEPA A  FRANCESCA FIORI PER  FT. 8/2014 DEL 27/03/2014 COMM              0,00 SPESE              0,00 TRN 1101140940288771</t>
  </si>
  <si>
    <t>FIORI FRANCESCA</t>
  </si>
  <si>
    <t>DALLARA 2 , OHB-CGS</t>
  </si>
  <si>
    <t>IMPRENDO ONE EDIZIONE 1  COSTO FISSO MESE DI APRILE 2014</t>
  </si>
  <si>
    <t>DISPOSIZIONE DI BONIFICO BONIFICO SEPA A  B-SIDE COMMUNICATION SRL PER  VS FATTURA 300 DEL 1/04/2014 FONDI VALUE TEAM TRN 1101141230026221</t>
  </si>
  <si>
    <t>B-SIDE COMMUNICATION SRL</t>
  </si>
  <si>
    <t>DISPOSIZIONE DI BONIFICO BONIFICO SEPA A  SILVIA CABASSI PER  FATTURA 83 DEL 31/03/2014 ACCONTO C OMPENSO PER CO.CO.CO 2014 TRN 1101141230026489</t>
  </si>
  <si>
    <t>SEWS CABIND, HERO 2</t>
  </si>
  <si>
    <t>DISPOSIZIONE DI BONIFICO BONIFICO SEPA A  CALIFORNIA DREAMING SNC PER  ESTRATTO CONTO 26 E FT. 43 DEL 28/0 3/2014 FRUTTALDO A PARIGI CONFERENZ TRN 1201141270240562</t>
  </si>
  <si>
    <t>DISPOSIZIONE DI BONIFICO BONIFICO SEPA A  IORI MANUEL PER  COMPENSO PER INCARICO DEFINIZIONE D I SCENARI DI REVISIONE DEL LAYOUT D TRN 1101141280383631</t>
  </si>
  <si>
    <t>IORI MANUEL</t>
  </si>
  <si>
    <t>BONIFICO A VOSTRO FAVORE BONIFICO SEPA DA  ERTICO SCRL PER  GA 621112 CO-GISTICS AP1 COMM              0,00 SPESE              0,00 TRN 1001141338016092</t>
  </si>
  <si>
    <t>CO-GISTICS</t>
  </si>
  <si>
    <t>VS ORDINE DI BONIFICO SU ESTERO RIF.   111015265779 EUR        1.250,00 A   ING GROUP ASSOCIATION FEE</t>
  </si>
  <si>
    <t>EFFRA</t>
  </si>
  <si>
    <t>IMPRENDO ONE EDIZIONE 1  COSTO FISSO MESE DI MAGGIO 2014</t>
  </si>
  <si>
    <t>DISPOSIZIONE DI BONIFICO BONIFICO SEPA A  FERRARINI CHIARA PER  RIMBORSO SPESE SITO WEB ID4EV ARUBA COMM              0,00 SPESE              0,00 TRN 1101141530061193</t>
  </si>
  <si>
    <t>DISPOSIZIONE DI BONIFICO BONIFICO SEPA A  GRAZIA CATTANI PER  RIMBORSO SPESE POSTALI COMM              0,00 SPESE              0,00 TRN 1101141530061342</t>
  </si>
  <si>
    <t>DISPOSIZIONE DI BONIFICO BONIFICO SEPA A  DUEMME PER  FT 173 DEL 22/05/2014  LAVORO DI ST AMPA (DALLARA2) TRN 1101141530061023</t>
  </si>
  <si>
    <t>DISPOSIZIONE PER GIROCONTO GIROCONTO A CONSORZIO INTERUNIVERSITARIO PER L OTT PER Compensazione saldo negativo COMM.      0,54 CRO OPERAZIONE 49089065811</t>
  </si>
  <si>
    <t>DISPOSIZIONE DI BONIFICO BONIFICO SEPA A  MAURO DELL AMICO PER  MISSIONE A BRUSSELS 4-6/06/14 (CGS) COMM              0,00 SPESE              0,00 TRN 1201141800020819</t>
  </si>
  <si>
    <t>DISPOSIZIONE DI BONIFICO BONIFICO SEPA A  MAURO DELL AMICO PER  MISSIONE A BOLOGNA PER ASSEMBLEA 15 /04/14 (SPESE GENERALI) TRN 1201141800021053</t>
  </si>
  <si>
    <t>DISPOSIZIONE DI BONIFICO BONIFICO SEPA A  MAURO DELL AMICO PER  MISSIONE A MILANO IL 9/04/2014 (CGS ) TRN 1201141800021175</t>
  </si>
  <si>
    <t>DISPOSIZIONE DI BONIFICO BONIFICO SEPA A  MAURO DELL AMICO PER  MISSIONE A LEGNANO IL 3/04/2014 (SP ESE GENERALI) TRN 1201141800021247</t>
  </si>
  <si>
    <t>DISPOSIZIONE DI BONIFICO BONIFICO SEPA A  MAURO DELL AMICO PER  RIMBORSO SPESE POSTALI COMM              0,00 SPESE              0,00 TRN 1201141800021317</t>
  </si>
  <si>
    <t>IMPRENDO ONE EDIZIONE 1  COSTO FISSO MESE DI GIUGNO 2014</t>
  </si>
  <si>
    <t>DISPOSIZIONE PER GIROCONTO GIROCONTO A CONSORZIO INTERUNIVERSITARIO PER L OTT PER GIROCONTO PER SALDO POSITIVO COMM.      0,54 CRO OPERAZIONE 47289757709</t>
  </si>
  <si>
    <t>DISPOSIZIONE DI BONIFICO BONIFICO SEPA A  NATALIA HADJIDIMITRIOU PER  RIUNIONE APRE A ROMA 1/07/14 COMM              0,00 SPESE              0,00 TRN 1101141870018715</t>
  </si>
  <si>
    <t>DISPOSIZIONE DI BONIFICO BONIFICO SEPA A  MAURO DELL AMICO PER  MISSIONE A MILANO (CGS) IL 19/06/20 14 TRN 1201141870019112</t>
  </si>
  <si>
    <t>DISPOSIZIONE PER GIROCONTO GIROCONTO A CONSORZIO INTERUNIVERSITARIO PER L OTT PER giroconto per mancanza fondi COMM.      0,54 CRO OPERAZIONE 49690210801</t>
  </si>
  <si>
    <t>BONIFICO A VOSTRO FAVORE BONIFICO SEPA DA  European Commission PER  1470245851 518749-LLP-1-2011-1-IT-E RASMUS-ECUE2011-5046/01/03 Solde CO TRN 1001142108021027</t>
  </si>
  <si>
    <t>IMPRENDO ONE EDIZIONE 1  COSTO FISSO MESE DI LUGLIO 2014</t>
  </si>
  <si>
    <t>IMPRENDO ONE EDIZIONE 1  COSTO FISSO MESE DI AGOSTO 2014</t>
  </si>
  <si>
    <t>DISPOSIZIONE DI BONIFICO BONIFICO SEPA A  MAURO DELL AMICO PER  RIMBORSO SPESA DHL (SPESE GENERALI) COMM              0,00 SPESE              0,00 TRN 1201142440306779</t>
  </si>
  <si>
    <t>DISPOSIZIONE DI BONIFICO BONIFICO SEPA A  MAURO DELL AMICO PER  MISSIONE A MILANO IL 23/07/2014 (CG S) TRN 1201142440307633</t>
  </si>
  <si>
    <t>DISPOSIZIONE DI BONIFICO BONIFICO SEPA A  SILVIA CABASSI PER  FT. 186/2014 DEL 30/06/2014 COMM              0,00 SPESE              0,00 TRN 1101142440309438</t>
  </si>
  <si>
    <t>DISPOSIZIONE DI BONIFICO BONIFICO SEPA A  MAURO DELL AMICO PER  MISSIONE DEL 27 GIUGNO 2014 A BOLOG NA (dallara) TRN 1201142440318385</t>
  </si>
  <si>
    <t>DISPOSIZIONE DI BONIFICO BONIFICO SEPA A  MAURO DELL AMICO PER  MISSIONE DEL 17/06/2014 (DALLARA) COMM              0,00 SPESE              0,00 TRN 1201142440322107</t>
  </si>
  <si>
    <t>DISPOSIZIONE DI BONIFICO BONIFICO SEPA A  MAURO DELL AMICO PER  MISSIONE A BRESCIA IL 25/06/2014 CO NVEGNO ALCT (DALLARA) TRN 1201142440328526</t>
  </si>
  <si>
    <t>DISPOSIZIONE DI BONIFICO BONIFICO SEPA A  MAURO DELL AMICO PER  RIMBORSO ACQUISTO MATERIALE INFORMA TICO (DALLARA) TRN 1201142440334585</t>
  </si>
  <si>
    <t>DISPOSIZIONE DI BONIFICO BONIFICO SEPA A  LAURA GALLI PER  RIMBORSI VARI (VALUE TEAM) COMM              0,00 SPESE              0,00 TRN 1201142440338072</t>
  </si>
  <si>
    <t>DISPOSIZIONE DI BONIFICO BONIFICO SEPA A  PAOLO TOTH PER  RIMBORSO MISSIONE A RIO DE JANEIRO DAL 23 AL 30 APRILE 2014 (VALUE TEA TRN 1201142440366413</t>
  </si>
  <si>
    <t>TOTH PAOLO</t>
  </si>
  <si>
    <t>DISPOSIZIONE DI BONIFICO BONIFICO SEPA A  GRAZIA CATTANI PER  COMPENSO I RATA COMM              0,00 SPESE              0,00 TRN 1101142480292440</t>
  </si>
  <si>
    <t>MANDATI DI PAGAMENTO O.C. UNIVERSITA  STUDI TRIESTE M. 0010639 0000001 CIG Z4310AC6F6 Generico Uscita - - 03/03/2014 - RI MBORSO QUOTA ERTICO 2013 E 2014 - 2014</t>
  </si>
  <si>
    <t>BONIFICO A VOSTRO FAVORE BONIFICO SEPA DA  CONSORZIO INTERUNIVERSITARIO PER L  OTTIM PER  Anticipo contributo progetto COST T TRN 1201142550356844</t>
  </si>
  <si>
    <t>DISPOSIZIONE DI BONIFICO BONIFICO SEPA A  MAURO DELL AMICO PER  Rimborso servizi di Hosting (DALLAR A) TRN 1201142590276806</t>
  </si>
  <si>
    <t>DISPOSIZIONE DI BONIFICO BONIFICO SEPA A  RE LAB PER  FINAL PAYMENT DEVICE COMM              0,00 SPESE              0,00 TRN 1201142590277928</t>
  </si>
  <si>
    <t>VS ORDINE DI BONIFICO SU ESTERO RIF.   111015927755 EUR        6.410,66 A   SC INNOVATE4FUTURE FINAL PAYMENT DEVICE</t>
  </si>
  <si>
    <t>VS ORDINE DI BONIFICO SU ESTERO RIF.   111015927751 EUR        8.292,77 A   CHALMERS TEKNISKA HOEGSKOLA AB FINAL PAYMENT DEVICE</t>
  </si>
  <si>
    <t>VS ORDINE DI BONIFICO SU ESTERO RIF.   111015927747 EUR        8.641,35 A   LOUGHBOROUGH UNIVERSITY FINAL PAYMENT DEVICE</t>
  </si>
  <si>
    <t>DISPOSIZIONE DI BONIFICO BONIFICO SEPA A  REGGIO CHILDREN SRL PER  FINAL PAYMENT DEVICE COMM              0,00 SPESE              0,00 TRN 1201142600190608</t>
  </si>
  <si>
    <t>VS ORDINE DI BONIFICO SU ESTERO RIF.   111015933905 EUR        3.143,02 A   MONASH UNIVERSITY FINAL PAYMENT DEVICE</t>
  </si>
  <si>
    <t>DISPOSIZIONE DI BONIFICO BONIFICO SEPA A  MAURO DELL AMICO PER  RIMBORSO SPESE POSTALI DHL (SPESE G ENERALI CONSORZIO) TRN 1201142600192354</t>
  </si>
  <si>
    <t>DISPOSIZIONE DI BONIFICO BONIFICO SEPA A  MAURO DELL AMICO PER  MISSIONE A MILANO IL 8/09/2014 (CGS ) TRN 1201142600192643</t>
  </si>
  <si>
    <t>SC INNOVATE4FUTURE</t>
  </si>
  <si>
    <t>REGGIO CHILDREN</t>
  </si>
  <si>
    <t>ICOOR -COST</t>
  </si>
  <si>
    <t>Spese per ricerca da Unione Europea; contratti</t>
  </si>
  <si>
    <t>AVANZO DI CASSA 2014</t>
  </si>
  <si>
    <t>COMMISSIONE EU</t>
  </si>
  <si>
    <t>UNITS</t>
  </si>
  <si>
    <t>ICOOR-COST</t>
  </si>
  <si>
    <t>AVANZO DI AMMINISTRAZIONE 2014</t>
  </si>
  <si>
    <t>DIAZ DIAZ</t>
  </si>
  <si>
    <t>DISPOSIZIONE DI BONIFICO BONIFICO SEPA A  FERRARINI CHIARA PER  RIMBORSO SPESE CHIARA FERRARINI PER  MARCHE DA BOLLO (GESTIONE CONSORZIO</t>
  </si>
  <si>
    <t xml:space="preserve">DISPOSIZIONE DI BONIFICO BONIFICO SEPA A  DIAZ DIAZ JOSE CARLOS PER  MISSIONE A BOLOGNA DIAZ JOSE  PER F URLA </t>
  </si>
  <si>
    <t>PREVISIONI 2014</t>
  </si>
  <si>
    <t>Avanzo prudenziale 2014</t>
  </si>
  <si>
    <t>ulteriore attività comm.</t>
  </si>
  <si>
    <t>stima prudenziale</t>
  </si>
  <si>
    <t>fatturato 2013</t>
  </si>
  <si>
    <t>fatturato 2012</t>
  </si>
  <si>
    <t>Finanziamento Device</t>
  </si>
  <si>
    <t>NOTE ALLE ENTRATE 2014</t>
  </si>
  <si>
    <t>NOTE ALLE SPESE 2015</t>
  </si>
  <si>
    <t>Iscrizione annuale ad Armesi</t>
  </si>
  <si>
    <t>Armesi</t>
  </si>
  <si>
    <t>Imposta di bollo (25,20 per 4 estratti conti)</t>
  </si>
  <si>
    <t xml:space="preserve">Versamento iva Dallara </t>
  </si>
  <si>
    <t>Versamento iva CGS</t>
  </si>
  <si>
    <t>Versamento iva su ulteriore attività comm</t>
  </si>
  <si>
    <t>a pareggio</t>
  </si>
  <si>
    <t xml:space="preserve">Fondi da spendere per la realizzazione dei Contratti </t>
  </si>
  <si>
    <t>Saldo finanziamento DEVICE</t>
  </si>
  <si>
    <t>Saldo finanziamento HEERO2</t>
  </si>
  <si>
    <t>Dallara saldo</t>
  </si>
  <si>
    <t>CGS saldo</t>
  </si>
  <si>
    <t>COMPENSO DICEMBRE 2013-ARROTOND. PREC</t>
  </si>
  <si>
    <t>COMPENSO DICEMBRE 2013-IRPEF</t>
  </si>
  <si>
    <t>COMPENSO DICEMBRE 2013-INPS</t>
  </si>
  <si>
    <t>COMPENSO DICEMBRE 2013-INAIL</t>
  </si>
  <si>
    <t>INPS A CARICO ENTE MESE DI DICEMBRE LANDINI</t>
  </si>
  <si>
    <t>INAIL A CARICO ENTE MESE DI DICEMBRE LANDINI</t>
  </si>
  <si>
    <t>FT.1 DEL 13/01/2014</t>
  </si>
  <si>
    <t>FT. 2 DEL 13/01/2014</t>
  </si>
  <si>
    <t>CGS SPA</t>
  </si>
  <si>
    <t>FT. 3 DEL 14/01/2014</t>
  </si>
  <si>
    <t xml:space="preserve">Comune di Reggio </t>
  </si>
  <si>
    <t>FT. 4 DEL 17/03/2014</t>
  </si>
  <si>
    <t>Furla</t>
  </si>
  <si>
    <t>FT.5 DEL 08/05/2014</t>
  </si>
  <si>
    <t>FT.6 DEL 30/06/2014</t>
  </si>
  <si>
    <t>FT.7 DEL 22/09/2014</t>
  </si>
  <si>
    <t>ABB</t>
  </si>
  <si>
    <t>FT. 8 DEL 25/09/2014</t>
  </si>
  <si>
    <t>FT.9 DEL 7/10/2014</t>
  </si>
  <si>
    <t>SDM</t>
  </si>
  <si>
    <t>COMPENSO DICEMBRE  2013</t>
  </si>
  <si>
    <t>COMPENSO DICEMBRE 2013 - ARROTONDAMENTO</t>
  </si>
  <si>
    <t>INPS A CARICO ENTE MESE DI DICEMBRE NATALIA</t>
  </si>
  <si>
    <t>INAIL A CARICO ENTE MESE DI DICEMBRE NATALIA</t>
  </si>
  <si>
    <t>SERENA FRUTTALDO</t>
  </si>
  <si>
    <t>INPS A CARICO ENTE MESE DI DICEMBRE FRUTTALDO</t>
  </si>
  <si>
    <t>INAIL A CARICO ENTE MESE DI DICEMBRE FRUTTALDO</t>
  </si>
  <si>
    <t>COMPENSO GENNAIO 2014</t>
  </si>
  <si>
    <t>INPS A CARICO ENTE MESE DI DICEMBRE CALEFATO</t>
  </si>
  <si>
    <t>INAIL A CARICO ENTE MESE DI DICEMBRE CALEFATO</t>
  </si>
  <si>
    <t>COMPENSO FEBBRAIO 2014</t>
  </si>
  <si>
    <t>COMPENSO FEBBRAIO 2014 - ARROTONDAMENTO</t>
  </si>
  <si>
    <t>INPS A CARICO ENTE MESE DI FEBBRAIO 2014NATALIA</t>
  </si>
  <si>
    <t>INAIL A CARICO ENTE MESE DI FEBBRAIO 2014 NATALIA</t>
  </si>
  <si>
    <t>COMPENSO FEBBRAIO 2014-ARROTOND. PREC</t>
  </si>
  <si>
    <t>COMPENSO FEBBRAIO 2014-IRPEF</t>
  </si>
  <si>
    <t>COMPENSO FEBBRAIO 2014-INPS</t>
  </si>
  <si>
    <t>COMPENSO FEBBRAIO 2014-INAIL</t>
  </si>
  <si>
    <t>COMPENSO MARZO 2014</t>
  </si>
  <si>
    <t>INPS A CARICO ENTE MESE DI MARZO 2014 CALEFATO</t>
  </si>
  <si>
    <t>INAIL A CARICO ENTE MESE DI MARZO 2014 CALEFATO</t>
  </si>
  <si>
    <t>COMPENSO MARZO 2014-ARROTOND. PREC</t>
  </si>
  <si>
    <t>ERARIO C/REGIONE</t>
  </si>
  <si>
    <t>ERARIO C/LOCALE</t>
  </si>
  <si>
    <t>VERSAMENTO ERARIO IRPEF COMPENSI DI DICEMBRE</t>
  </si>
  <si>
    <t>VERSAMENTO INPS COMPENSI DI DICEMBRE</t>
  </si>
  <si>
    <t>VERSAMENTO IRPEF REGIONE COMPENSI DI DICEMBRE</t>
  </si>
  <si>
    <t>VERSAMENTO IRPEF LOCALE COMPENSI DI DICEMBRE</t>
  </si>
  <si>
    <t xml:space="preserve">VERSAMENTO ERARIO IRPEF COMPENSI GRAZIOSI E SACCANI </t>
  </si>
  <si>
    <t xml:space="preserve">VERSAMENTO ERARIO IRPEF COMPENSI GENNAIO </t>
  </si>
  <si>
    <t>VERSAMENTO INPS COMPENSI DI GENNAIO</t>
  </si>
  <si>
    <t>FT. 16 DEL 16/01/2014</t>
  </si>
  <si>
    <t>COMPENSO APRILE 2014</t>
  </si>
  <si>
    <t>COMPENSO APRILE 2014 - ARROTONDAMENTO</t>
  </si>
  <si>
    <t>INPS A CARICO ENTE MESE DI APRILE2014NATALIA</t>
  </si>
  <si>
    <t>INAIL A CARICO ENTE MESE DI APRILE 2014 NATALIA</t>
  </si>
  <si>
    <t>COMPENSO APRILE 2014-ARROTOND. PREC</t>
  </si>
  <si>
    <t>COMPENSO APRILE 2014-IRPEF</t>
  </si>
  <si>
    <t>COMPENSO APRILE 2014-INPS</t>
  </si>
  <si>
    <t>COMPENSO APRILE 2014-INAIL</t>
  </si>
  <si>
    <t>COMPENSO GIUGNO 2014</t>
  </si>
  <si>
    <t>COMPENSO GIUGNO2014 - ARROTONDAMENTO</t>
  </si>
  <si>
    <t>INPS A CARICO ENTE MESE DI GIUGNO2014NATALIA</t>
  </si>
  <si>
    <t>INAIL A CARICO ENTE MESE DI GIUGNO  2014 NATALIA</t>
  </si>
  <si>
    <t>COMPENSO GIUGNO 2014-ARROTOND. PREC</t>
  </si>
  <si>
    <t>COMPENSO GIUGNO 2014-IRPEF</t>
  </si>
  <si>
    <t>COMPENSO GIUGNO 2014-INPS</t>
  </si>
  <si>
    <t>COMPENSO GIUGNO 2014-INAIL</t>
  </si>
  <si>
    <t>INPS A CARICO ENTE MESE DI GIUGNO2014</t>
  </si>
  <si>
    <t xml:space="preserve">INAIL A CARICO ENTE MESE DI GIUGNO  2014 </t>
  </si>
  <si>
    <t>COMPENSO AGOSTO 2014</t>
  </si>
  <si>
    <t>COMPENSO AGOSTO2014 - ARROTONDAMENTO</t>
  </si>
  <si>
    <t>INPS A CARICO ENTE MESE DI AGOSTO2014NATALIA</t>
  </si>
  <si>
    <t>INAIL A CARICO ENTE MESE DI AGOSTO  2014 NATALIA</t>
  </si>
  <si>
    <t>COMPENSO AGOSTO 2014-ARROTOND. PREC</t>
  </si>
  <si>
    <t>COMPENSO AGOSTO2014-IRPEF</t>
  </si>
  <si>
    <t>COMPENSO AGOSTO 2014-INPS</t>
  </si>
  <si>
    <t>COMPENSO AGOSTO 2014-INAIL</t>
  </si>
  <si>
    <t>VERSAMENTO ERARIO IRPEF COMPENSI FEBBRAIO</t>
  </si>
  <si>
    <t>VERSAMENTO REGIONI IRPEF COMPENSI FEBBRAIO</t>
  </si>
  <si>
    <t>FT. 8/2014 DEL 27/03/2014</t>
  </si>
  <si>
    <t>VERSAMENTO IRPEF COMPENSO FIORI</t>
  </si>
  <si>
    <t>VERSAMENTO IRPEF COMPENSI MARZO</t>
  </si>
  <si>
    <t>VERSAMENTO INPS COMPENSI MARZO</t>
  </si>
  <si>
    <t>VERSAMENTO ERARIO LOCALE COMPENSI MARZO</t>
  </si>
  <si>
    <t>VERSAMENTO ERARIO REGIONE COMPENSI MARZO</t>
  </si>
  <si>
    <t>MANCATO VERSAMENTO FURINI E IORI (DICEMBRE 2013)</t>
  </si>
  <si>
    <t>INTERESSI PASSIVI E SANZIONE</t>
  </si>
  <si>
    <t xml:space="preserve"> FATTURA 83 DEL 31/03/2014 </t>
  </si>
  <si>
    <t>NOTA DEL 07/05/2014 COMPENSO PER COLL.OCCASIONALE</t>
  </si>
  <si>
    <t>VERSAMENTO IRPEF COMPENSO CABASSI</t>
  </si>
  <si>
    <t>VERSAMENTO PRIMO TRIM IVA</t>
  </si>
  <si>
    <t>VERSAMENTO IRPEF ERARIO COMPENSI APRILE</t>
  </si>
  <si>
    <t>VERSAMENTO INPS COMPENSI APRILE</t>
  </si>
  <si>
    <t>VERSAMENTO IRPEF REGIONI COMPENSI APRILE</t>
  </si>
  <si>
    <t>VERSAMENTO INAIL 2013 (A RESIDUO)</t>
  </si>
  <si>
    <t>VERSAMENTO INAIL 2013 (PARTE NON IPEGNATA)</t>
  </si>
  <si>
    <t>VERSAMENTO INAIL 2014 ACCONTO</t>
  </si>
  <si>
    <t>VERSAMENTO IRPEF COMPENSO IORI</t>
  </si>
  <si>
    <t>VERSAMENTO QUOTA ANNUALE CAMERA DI COMMERCIO</t>
  </si>
  <si>
    <t>CAMERA DI COMMERCIO</t>
  </si>
  <si>
    <t>IRES A CREDITO</t>
  </si>
  <si>
    <t>SALDO IRAP 2013</t>
  </si>
  <si>
    <t>ACCONTO IRAP 2014</t>
  </si>
  <si>
    <t>VERSAMENTO IRPEF ERARIO COMPENSI GIUGNO</t>
  </si>
  <si>
    <t>VERSAMENTO INPS COMPENSI GIUGNO</t>
  </si>
  <si>
    <t>VERSAMENTO IRPEF REGIONI COMPENSI GIUGNO</t>
  </si>
  <si>
    <t>VERSAMENTO IRPEF CABASSI</t>
  </si>
  <si>
    <t>VERSAMENTO INPS COMPENSI AGOSTO</t>
  </si>
  <si>
    <t>VERSAMENTO IVA II TRIMESTRE</t>
  </si>
  <si>
    <t xml:space="preserve">  COMPENSO I RATA </t>
  </si>
  <si>
    <t xml:space="preserve"> FT. 186/2014 DEL 30/06/2014 </t>
  </si>
  <si>
    <t>RIMBORSO RACCOMANDATA INTERNAZIONE PER INVIO DOCUMENTI PRESSO UE</t>
  </si>
  <si>
    <t>RIMBORSO RINNOVO SITO ID4EV</t>
  </si>
  <si>
    <t>RIMBORSO FRUTTALDO INVIO POSTER PROGETTO DESERVE PER TRA2014</t>
  </si>
  <si>
    <t xml:space="preserve">VERSAMENTO ERARIO IRPEF COMPENSI CATTANI </t>
  </si>
  <si>
    <t>VERSAMENTO ERARIO IRPEF COMPENSI  CABASSI</t>
  </si>
  <si>
    <t>CREDITO VS NATALIA</t>
  </si>
  <si>
    <t xml:space="preserve">DESERVE, SEWS </t>
  </si>
  <si>
    <t>VARIAZIONI AL BILANCIO DI PREVISIONE 2014</t>
  </si>
  <si>
    <t>HEERO 2</t>
  </si>
  <si>
    <t>COMMERCIALI SEWS</t>
  </si>
  <si>
    <t>COMMERCIALI REGGIO</t>
  </si>
  <si>
    <t>FONDI COMMERCIALI</t>
  </si>
  <si>
    <t>FONDI ISTITUZIONALI</t>
  </si>
  <si>
    <t>ISCRIVIAMO AL BP 2015</t>
  </si>
  <si>
    <t>Ripartizione avanzo 2013</t>
  </si>
  <si>
    <t>MINOR AVANZO 2013</t>
  </si>
  <si>
    <t>FT. 1 DEL 13/01/2014 DALLARA - MAGGIORE ENTRATA RISPETTO PREV</t>
  </si>
  <si>
    <t>FT. 2 DEL 13/01/2014 CGS - MAGGIORE ENTRATA RISPETTO PREV</t>
  </si>
  <si>
    <t>da unitrieste per Ertico</t>
  </si>
  <si>
    <t xml:space="preserve">Arrotondamenti </t>
  </si>
  <si>
    <t>Credito IRES</t>
  </si>
  <si>
    <t>Errato versamento Dell'Amico</t>
  </si>
  <si>
    <t>DEVICE QUOTA PARTNERS</t>
  </si>
  <si>
    <t>MINORE ENTRATA DEVICE QUOTA ICOOR</t>
  </si>
  <si>
    <t>EFFETTIVA ENTRATA DEVICE</t>
  </si>
  <si>
    <t>IN PREVENTIVO 2014</t>
  </si>
  <si>
    <t>HERO</t>
  </si>
  <si>
    <t>FT. 10 DEL 31/10/2014</t>
  </si>
  <si>
    <t>DALLARA</t>
  </si>
  <si>
    <t>da polito per Ertico</t>
  </si>
  <si>
    <t>maggiori incassi rispetto ai 15400 in previsione</t>
  </si>
  <si>
    <t>PREFINANZIAMENTO COGISTICS</t>
  </si>
  <si>
    <t>Ripartizione avanzo 2013 - quota disponibile</t>
  </si>
  <si>
    <t>RESIDUI</t>
  </si>
  <si>
    <t>RIMASTE DA RISCUOTERE in c/competenza</t>
  </si>
  <si>
    <t>RIMASTE DA RISCUOTERE in c/residui</t>
  </si>
  <si>
    <t>-</t>
  </si>
  <si>
    <t>FCI</t>
  </si>
  <si>
    <t>+</t>
  </si>
  <si>
    <t>ER-UP</t>
  </si>
  <si>
    <t>=</t>
  </si>
  <si>
    <t>FCF</t>
  </si>
  <si>
    <t>A/D DI AI</t>
  </si>
  <si>
    <t>EA-UI</t>
  </si>
  <si>
    <t>A/D DI AF</t>
  </si>
  <si>
    <t>RAF</t>
  </si>
  <si>
    <t>RPF</t>
  </si>
  <si>
    <t>RAI</t>
  </si>
  <si>
    <t>RPI</t>
  </si>
  <si>
    <t>DIFF</t>
  </si>
  <si>
    <t>RAR</t>
  </si>
  <si>
    <t>RAC</t>
  </si>
  <si>
    <t>ok</t>
  </si>
  <si>
    <t>RPC</t>
  </si>
  <si>
    <t>RPP</t>
  </si>
  <si>
    <t>OK</t>
  </si>
  <si>
    <t>BONIFICO A VOSTRO FAVORE BONIFICO SEPA DA  BOGLARKA TOTH PER  Return of a misplaced transfer COMM              0,00 SPESE              0,00 TRN 1001140368018851</t>
  </si>
  <si>
    <t>BONIFICO A VOSTRO FAVORE BONIFICO SEPA DA  BOGLARKA TOTH PER  Return of a misplaced transfer COMM              0,00 SPESE              0,00 TRN 1001140378017657</t>
  </si>
  <si>
    <t>DISPOSIZIONE PER GIROCONTO BONIFICO DA CONSORZIO INTERUNIVERSITARIO PER L OTT PER Compensazione saldo negativo CRO OPERAZIONE 49089065811</t>
  </si>
  <si>
    <t>DISPOSIZIONE PER GIROCONTO BONIFICO DA CONSORZIO INTERUNIVERSITARIO PER L OTT PER GIROCONTO PER SALDO POSITIVO CRO OPERAZIONE 47289757709</t>
  </si>
  <si>
    <t>DISPOSIZIONE PER GIROCONTO BONIFICO DA CONSORZIO INTERUNIVERSITARIO PER L OTT PER giroconto per mancanza fondi CRO OPERAZIONE 49690210801</t>
  </si>
  <si>
    <t>BONIFICO A VOSTRO FAVORE BONIFICO SEPA DA  FONDATION EUROPEENNE DE LA SCIENCE COMM              0,00 SPESE              0,00 COMM SERV              0,00 TRN 1001142238022737</t>
  </si>
  <si>
    <t>BOGLARKA TOTHPER</t>
  </si>
  <si>
    <t>FONDATION EUROPEENNE DE LA SCIENCE</t>
  </si>
  <si>
    <t>COST</t>
  </si>
  <si>
    <t>IMPRENDO ONE  COSTO FISSO MESE DI DICEMBRE 2013</t>
  </si>
  <si>
    <t>IMPRENDO ONE  COSTO FISSO MESE DI GENNAIO 2014</t>
  </si>
  <si>
    <t>IMPRENDO ONE  COSTO FISSO MESE DI FEBBRAIO 2014</t>
  </si>
  <si>
    <t>IMPRENDO ONE  COSTO FISSO MESE DI MARZO 2014</t>
  </si>
  <si>
    <t>IMPRENDO ONE  COSTO FISSO MESE DI APRILE 2014</t>
  </si>
  <si>
    <t>VS ORDINE DI BONIFICO SU ESTERO RIF.   111015152955 EUR          500,00 A   IMMANUEL BOMZE COST ACTION TD1207-TRAINING SCHOOL KLAGENFURT GRANT</t>
  </si>
  <si>
    <t>VS ORDINE DI BONIFICO SU ESTERO RIF.   111015153302 EUR          500,00 A   RICHARD MOLNARSZIPAI COST ACTION TD1207-TRAINING SCHOOL KLAGENFURT GRANT</t>
  </si>
  <si>
    <t>VS ORDINE DI BONIFICO SU ESTERO RIF.   111015153515 EUR          500,00 A    JONAS SCHWEIGER COST ACTION TD1207-TRAINING SCHOOL KLAGENFURT GRANT</t>
  </si>
  <si>
    <t>VS ORDINE DI BONIFICO SU ESTERO RIF.   111015153667 EUR          500,00 A   FELIPE SERRANO COST ACTION TD1207-TRAINING SCHOOL KLAGENFURT GRANT</t>
  </si>
  <si>
    <t>VS ORDINE DI BONIFICO SU ESTERO RIF.   111015153613 EUR          500,00 A   RALF LENZ COST ACTION TD1207-TRAINING SCHOOL KLAGENFURT GRANT</t>
  </si>
  <si>
    <t>DISPOSIZIONE DI BONIFICO BONIFICO SEPA A  natalia hadjidimitriou PER  COST Action   TD1207  Meeting   201 4-04-08 City   Klagenfurt, Austria  TRN 1101141270162695</t>
  </si>
  <si>
    <t>DISPOSIZIONE DI BONIFICO BONIFICO SEPA A  Mauro Dell Amico PER  COST Action   TD1207  Meeting   201 4-04-08  City   Klagenfurt, Austria TRN 1201141270164213</t>
  </si>
  <si>
    <t>DISPOSIZIONE DI BONIFICO BONIFICO SEPA A  ANDREA LODI PER  COST Action   TD1207  Training_scho ol   2014-04-08 City   Klagenfurt, TRN 1201141270164947</t>
  </si>
  <si>
    <t>VS ORDINE DI BONIFICO SU ESTERO RIF.   111015155591 EUR          500,00 A   JESCO HUMPOLA COST ACTION   TD1207  TRAINING_SCHO OL   2014-04-08  CITY   KLAGENFURT,</t>
  </si>
  <si>
    <t>DISPOSIZIONE DI BONIFICO BONIFICO SEPA A  Luca Labellarte PER  COST Action   TD1207  Training_scho ol   2014-04-08  City   Klagenfurt, TRN 1101141270168138</t>
  </si>
  <si>
    <t>DISPOSIZIONE DI BONIFICO BONIFICO SEPA A  Claudio Gambella PER  COST Action   TD1207  Training_scho ol   2014-04-08  City   Klagenfurt, TRN 1201141270169883</t>
  </si>
  <si>
    <t>VS ORDINE DI BONIFICO SU ESTERO RIF.   111015155757 EUR          500,00 A   NERIJUS GALIAUSKAS COST ACTION   TD1207  TRAINING_SCHO OL   2014-04-08  CITY   KLAGENFURT,</t>
  </si>
  <si>
    <t>VS ORDINE DI BONIFICO SU ESTERO RIF.   111015155853 EUR          500,00 A    AGN DZIDOLIKAIT COST ACTION   TD1207  TRAINING_SCHO OL   2014-04-08  CITY   KLAGENFURT,</t>
  </si>
  <si>
    <t>VS ORDINE DI BONIFICO SU ESTERO RIF.   111015155928 EUR          500,00 A   LEYLA DEMIR COST ACTION   TD1207  TRAINING_SCHO OL   2014-04-08  CITY   KLAGENFURT,</t>
  </si>
  <si>
    <t>VS ORDINE DI BONIFICO SU ESTERO RIF.   111015155891 EUR          500,00 A   JULIUS LINSKAS COST ACTION   TD1207  TRAINING_SCHO OL   2014-04-08  CITY   KLAGENFURT,</t>
  </si>
  <si>
    <t>VS ORDINE DI BONIFICO SU ESTERO RIF.   111015156099 EUR          500,00 A    STEFAN WIESBERG COST ACTION   TD1207  TRAINING_SCHO OL   2014-04-08  CITY   KLAGENFURT,</t>
  </si>
  <si>
    <t>VS ORDINE DI BONIFICO SU ESTERO RIF.   111015156058 EUR          500,00 A   SEBASTIAN RICHTER COST ACTION   TD1207  TRAINING_SCHO OL   2014-04-08  CITY   KLAGENFURT,</t>
  </si>
  <si>
    <t>VS ORDINE DI BONIFICO SU ESTERO RIF.   111015156019 EUR          500,00 A    DOAN LONG TRIEU COST ACTION   TD1207  TRAINING_SCHO OL   2014-04-08  CITY   KLAGENFURT,</t>
  </si>
  <si>
    <t>VS ORDINE DI BONIFICO SU ESTERO RIF.   111015156417 EUR          500,00 A   VIKTOR BINDEWALD COST ACTION   TD1207  TRAINING_SCHO OL   2014-04-08  CITY   KLAGENFURT,</t>
  </si>
  <si>
    <t>VS ORDINE DI BONIFICO SU ESTERO RIF.   111015156357 EUR          500,00 A   JANNIS KURTZ COST ACTION   TD1207  TRAINING_SCHO OL   2014-04-08  CITY   KLAGENFURT,</t>
  </si>
  <si>
    <t>VS ORDINE DI BONIFICO SU ESTERO RIF.   111015156254 EUR          500,00 A   AUDRIUS VARONECKAS COST ACTION   TD1207  TRAINING_SCHO OL   2014-04-08  CITY   KLAGENFURT,</t>
  </si>
  <si>
    <t>VS ORDINE DI BONIFICO SU ESTERO RIF.   111015156618 EUR          500,00 A   ALGIRDAS LANCINSKAS COST ACTION   TD1207  TRAINING_SCHO OL   2014-04-08  CITY   KLAGENFURT,</t>
  </si>
  <si>
    <t>VS ORDINE DI BONIFICO SU ESTERO RIF.   111015156518 EUR          500,00 A   KONSTANTINOS TAVLARIDIS-GYPARAKI COST ACTION   TD1207  TRAINING_SCHO OL   2014-04-08  CITY   KLAGENFURT,</t>
  </si>
  <si>
    <t>VS ORDINE DI BONIFICO SU ESTERO RIF.   111015156554 EUR          500,00 A   SVEN MALLACH COST ACTION   TD1207  TRAINING_SCHO OL   2014-04-08  CITY   KLAGENFURT,</t>
  </si>
  <si>
    <t>DISPOSIZIONE DI BONIFICO BONIFICO SEPA A  Fabrizio lacalandra PER  Definizione ed implementazione dell a struttura ad alto livello di Wiki TRN 1101141280124139</t>
  </si>
  <si>
    <t>VS ORDINE DI BONIFICO SU ESTERO RIF.   111015161415 EUR          500,00 A   ULRIKE SCHORR COST ACTION   TD1207  TRAINING_SCHO OL   2014-04-08  CITY   KLAGENFURT,</t>
  </si>
  <si>
    <t>VS ORDINE DI BONIFICO SU ESTERO RIF.   111015161353 EUR          500,00 A   JUSTIN BUHENDWA NYENYEZI COST ACTION   TD1207  TRAINING_SCHO OL   2014-04-08  CITY   KLAGENFURT,</t>
  </si>
  <si>
    <t>VS ORDINE DI BONIFICO SU ESTERO RIF.   111015161480 EUR          500,00 A    M. BALVERT COST ACTION   TD1207  TRAINING_SCHO OL   2014-04-08  CITY   KLAGENFURT,</t>
  </si>
  <si>
    <t>VS ORDINE DI BONIFICO SU ESTERO RIF.   111015161530 EUR          500,00 A   DR K I &amp; DR M L MCKINNON COST ACTION   TD1207  TRAINING_SCHO OL   2014-04-08  CITY   KLAGENFURT,</t>
  </si>
  <si>
    <t>VS ORDINE DI BONIFICO SU ESTERO RIF.   111015161644 EUR          500,00 A   FRANCESCO SILVESTRI COST ACTION   TD1207  TRAINING_SCHO OL   2014-04-08  CITY   KLAGENFURT,</t>
  </si>
  <si>
    <t>VS ORDINE DI BONIFICO SU ESTERO RIF.   111015161818 EUR          500,00 A   QIN XIN COST ACTION   TD1207  TRAINING_SCHO OL   2014-04-08  CITY   KLAGENFURT,</t>
  </si>
  <si>
    <t>VS ORDINE DI BONIFICO SU ESTERO RIF.   111015161864 EUR          500,00 A   VANESA GUERRERO LOZANO COST ACTION   TD1207  TRAINING_SCHO OL   2014-04-08  CITY   KLAGENFURT,</t>
  </si>
  <si>
    <t>VS ORDINE DI BONIFICO SU ESTERO RIF.   111015166754 EUR          500,00 A   LENA HUPP COST ACTION   TD1207  TRAINING_SCHO OL   2014-04-08  CITY   KLAGENFURT,</t>
  </si>
  <si>
    <t>DISPOSIZIONE DI BONIFICO BONIFICO SEPA A   Tramontani Andrea PER  COST Action   TD1207  Training_scho ol   2014-04-08  City   Klagenfurt, TRN 1201141280283059</t>
  </si>
  <si>
    <t>VS ORDINE DI BONIFICO SU ESTERO RIF.   111015166916 EUR          500,00 A    GOKHAN KIRLIK COST ACTION   TD1207  TRAINING_SCHO OL   2014-04-08  CITY   KLAGENFURT,</t>
  </si>
  <si>
    <t>VS ORDINE DI BONIFICO SU ESTERO RIF.   111015166854 EUR          500,00 A   SAMUEL ROSAT COST ACTION   TD1207  TRAINING_SCHO OL   2014-04-08  CITY   KLAGENFURT,</t>
  </si>
  <si>
    <t>VS ORDINE DI BONIFICO SU ESTERO RIF.   111015167107 EUR          790,69 A   CLAUDIA D AMBROSIO COST ACTION   TD1207  MEETING   201 4-04-08  CITY   KLAGENFURT, AUSTRIA</t>
  </si>
  <si>
    <t>VS ORDINE DI BONIFICO SU ESTERO RIF.   111015167287 EUR          495,80 A   CHRISTOPH HELMBERG COST ACTION   TD1207  MEETING   201 4-04-08  CITY   KLAGENFURT, AUSTRIA</t>
  </si>
  <si>
    <t>VS ORDINE DI BONIFICO SU ESTERO RIF.   111015167423 EUR        1.502,49 A   QIN XIN COST ACTION   TD1207  MEETING   201 4-04-08  CITY   KLAGENFURT, AUSTRIA</t>
  </si>
  <si>
    <t>VS ORDINE DI BONIFICO SU ESTERO RIF.   111015167550 EUR          530,38 A   JULIUS LINSKAS COST ACTION   TD1207  MEETING   201 4-04-08  CITY   KLAGENFURT, AUSTRIA</t>
  </si>
  <si>
    <t>VS ORDINE DI BONIFICO SU ESTERO RIF.   111015167615 EUR          580,00 A    GEJZA DOHNAL COST ACTION   TD1207  MEETING   201 4-04-08  CITY   KLAGENFURT, AUSTRIA</t>
  </si>
  <si>
    <t>VS ORDINE DI BONIFICO SU ESTERO RIF.   111015167781 EUR          677,68 A   ANNETTE RYTER COST ACTION   TD1207  MEETING   201 4-04-08  CITY   KLAGENFURT, AUSTRIA</t>
  </si>
  <si>
    <t>VS ORDINE DI BONIFICO SU ESTERO RIF.   111015172743 EUR          500,00 A   MARCIO COSTA SANTOS COST ACTION   TD1207  TRAINING_SCHO OL   2014-04-08  CITY   KLAGENFURT,</t>
  </si>
  <si>
    <t>VS ORDINE DI BONIFICO SU ESTERO RIF.   111015172639 EUR          500,00 A   KRZYSZTOF POSTEK COST ACTION   TD1207  TRAINING_SCHO OL   2014-04-08  CITY   KLAGENFURT,</t>
  </si>
  <si>
    <t>VS ORDINE DI BONIFICO SU ESTERO RIF.   111015172929 EUR        1.161,00 A   SANDRINE CHAROUSSET COST ACTION   TD1207  MEETING   201 4-04-08  CITY   KLAGENFURT, AUSTRIA</t>
  </si>
  <si>
    <t>VS ORDINE DI BONIFICO SU ESTERO RIF.   111015173068 EUR        2.234,19 A   FALKNER &amp; ANJOS COST ACTION   TD1207  TRAINING_SCHO OL   2014-04-08  CITY   KLAGENFURT,</t>
  </si>
  <si>
    <t>VS ORDINE DI BONIFICO SU ESTERO RIF.   111015174052 EUR          721,37 A   LAUREANO ESCUDERO COST ACTION   TD1207  MEETING   201 4-04-08  CITY   KLAGENFURT, AUSTRIA</t>
  </si>
  <si>
    <t>VS ORDINE DI BONIFICO SU ESTERO RIF.   111015174161 EUR          488,30 A   IMMANUEL BOMZE COST ACTION   TD1207  MEETING   201 4-04-08  CITY   KLAGENFURT, AUSTRIA</t>
  </si>
  <si>
    <t>VS ORDINE DI BONIFICO SU ESTERO RIF.   111015186228 EUR          500,00 A   JAKOB SCHELBERT COST ACTION   TD1207  TRAINING_SCHO OL   2014-04-08  CITY   KLAGENFURT,</t>
  </si>
  <si>
    <t>VS ORDINE DI BONIFICO SU ESTERO RIF.   111015186195 EUR          500,00 A   MAXIMILIAN MERKERT COST ACTION   TD1207  TRAINING_SCHO OL   2014-04-08  CITY   KLAGENFURT,</t>
  </si>
  <si>
    <t>PAGAMENTO DELEGHE F23/F24 PRENOTATE PAGAMENTO FISCO/INPS/REGIONI</t>
  </si>
  <si>
    <t>IMPRENDO ONE  COSTO FISSO MESE DI MAGGIO 2014</t>
  </si>
  <si>
    <t>PAGAMENTO DELEGHE F23/F24 PRENOTATE PAGAMENTO FISCO/INPS/REGIONI (0001 DELEGHE )</t>
  </si>
  <si>
    <t>IMPRENDO ONE  COSTO FISSO MESE DI GIUGNO 2014</t>
  </si>
  <si>
    <t>IMPRENDO ONE  COSTO FISSO MESE DI LUGLIO 2014</t>
  </si>
  <si>
    <t>IMPRENDO ONE  COSTO FISSO MESE DI AGOSTO 2014</t>
  </si>
  <si>
    <t>VS ORDINE DI BONIFICO SU ESTERO RIF.   111015846379 EUR          500,00 A   ELISABETH GAAR COST ACTION   TD1207  TRAINING_SCHO OL   2014-04-08  CITY   KLAGENFURT,</t>
  </si>
  <si>
    <t>VS ORDINE DI BONIFICO SU ESTERO RIF.   111015846434 EUR          500,00 A   MARTYNAS PELAKAUSKAS COST ACTION   TD1207  TRAINING_SCHO OL   2014-04-08  CITY   KLAGENFURT,</t>
  </si>
  <si>
    <t>VS ORDINE DI BONIFICO SU ESTERO RIF.   111015846524 EUR          914,90 A   MICHAEL DIEKERHOF COST ACTION   TD1207  TRAINING_SCHO OL   2014-04-08  CITY   KLAGENFURT,</t>
  </si>
  <si>
    <t>VS ORDINE DI BONIFICO SU ESTERO RIF.   111015846710 EUR          859,80 A   BENJAMIN HILLER COST ACTION   TD1207  TRAINING_SCHO OL   2014-04-08  CITY   KLAGENFURT,</t>
  </si>
  <si>
    <t>VS ORDINE DI BONIFICO SU ESTERO RIF.   111015846868 EUR        2.149,63 A   JONATHAN LEE COST ACTION   TD1207  TRAINING_SCHO OL   2014-04-08  CITY   KLAGENFURT,</t>
  </si>
  <si>
    <t>VS ORDINE DI BONIFICO SU ESTERO RIF.   111015846755 EUR        1.052,50 A   JEAN-BAPTISTE HIRIART-URRUTY COST ACTION   TD1207  TRAINING_SCHO OL   2014-04-08  CITY   KLAGENFURT,</t>
  </si>
  <si>
    <t>VS ORDINE DI BONIFICO SU ESTERO RIF.   111015847071 EUR          876,73 A   DR K I &amp; DR M L MCKINNON COST ACTION   TD1207  MEETING   201 4-04-08  CITY   KLAGENFURT, AUSTRIA</t>
  </si>
  <si>
    <t>VS ORDINE DI BONIFICO SU ESTERO RIF.   111015847176 EUR          847,17 A   MARTYNAS PELAKAUSKAS COST ACTION   TD1207  MEETING   201 4-04-08  CITY   KLAGENFURT, AUSTRIA</t>
  </si>
  <si>
    <t>VS ORDINE DI BONIFICO SU ESTERO RIF.   111015847117 EUR          968,43 A   METTE HELENE BJRNDAL COST ACTION   TD1207  MEETING   201 4-04-08  CITY   KLAGENFURT, AUSTRIA</t>
  </si>
  <si>
    <t>VS ORDINE DI BONIFICO SU ESTERO RIF.   111015847398 EUR        1.029,98 A   YORAM HADDAD COST ACTION   TD1207  MEETING   201 4-04-08  CITY   KLAGENFURT, AUSTRIA</t>
  </si>
  <si>
    <t>VS ORDINE DI BONIFICO SU ESTERO RIF.   111015847255 EUR          465,98 A   BOGLARKA TOTH COST ACTION   TD1207  MEETING   201 4-04-08  CITY   KLAGENFURT, AUSTRIA</t>
  </si>
  <si>
    <t>VS ORDINE DI BONIFICO SU ESTERO RIF.   111015847584 EUR          818,04 A   HENRIK MADSEN COST ACTION   TD1207  MEETING   201 4-04-08  CITY   KLAGENFURT, AUSTRIA</t>
  </si>
  <si>
    <t>VS ORDINE DI BONIFICO SU ESTERO RIF.   111015847454 EUR          672,92 A   ANNEROSE STEINKE COST ACTION   TD1207  MEETING   201 4-04-08  CITY   KLAGENFURT, AUSTRIA</t>
  </si>
  <si>
    <t>VS ORDINE DI BONIFICO SU ESTERO RIF.   111015847633 EUR          895,00 A   P. MATHIOPOULOS COST ACTION   TD1207  MEETING   201 4-04-08  CITY   KLAGENFURT, AUSTRIA</t>
  </si>
  <si>
    <t>VS ORDINE DI BONIFICO SU ESTERO RIF.   111015847851 EUR          564,21 A   MARTIN MEVISSEN COST ACTION   TD1207  MEETING   201 4-04-08  CITY   KLAGENFURT, AUSTRIA</t>
  </si>
  <si>
    <t>VS ORDINE DI BONIFICO SU ESTERO RIF.   111015847947 EUR          696,10 A   MINDAUGAS AZUBALIS COST ACTION   TD1207  MEETING   201 4-04-08  CITY   KLAGENFURT, AUSTRIA</t>
  </si>
  <si>
    <t>DISPOSIZIONE DI BONIFICO BONIFICO SEPA A  VALENTINA CACCHIANI PER  COST Action   TD1207  Stsm   2014-0 5-17  Multi-objective Mixed Integer TRN 1101142460197789</t>
  </si>
  <si>
    <t>VS ORDINE DI BONIFICO SU ESTERO RIF.   111015849953 EUR        2.260,00 A   FILIPE BRANDO COST ACTION   TD1207  STSM   2014-0 5-06  SCIP FOR VECTOR PACKING</t>
  </si>
  <si>
    <t>VS ORDINE DI BONIFICO SU ESTERO RIF.   111015849917 EUR          600,00 A    MARKUS SINNL COST ACTION   TD1207  STSM   2014-0 4-14  NEW MIP TECHNIQUES FOR BRANCH</t>
  </si>
  <si>
    <t>VS ORDINE DI BONIFICO SU ESTERO RIF.   111015850070 EUR          800,00 A   IMMANUEL BOMZE COST ACTION   TD1207  STSM   2014-0 5-20  COPOSITIVE PROGRAMMING AND LI</t>
  </si>
  <si>
    <t>DISPOSIZIONE DI BONIFICO BONIFICO SEPA A  ICOOR PER  Anticipo contributo progetto COST T D1207 - 1 anno TRN 1201142550356844</t>
  </si>
  <si>
    <t>AMAYA NOGALES</t>
  </si>
  <si>
    <t>VS ORDINE DI BONIFICO SU ESTERO RIF.   111014449554</t>
  </si>
  <si>
    <t>BOGLARKA TOTH</t>
  </si>
  <si>
    <t xml:space="preserve">VS ORDINE DI BONIFICO SU ESTERO RIF.   111014573602 </t>
  </si>
  <si>
    <t>MARTYNAS PELAKAUSKAS</t>
  </si>
  <si>
    <t xml:space="preserve">VS ORDINE DI BONIFICO SU ESTERO RIF.   111014670350 </t>
  </si>
  <si>
    <t>DANIEL SCHMIDT</t>
  </si>
  <si>
    <t>VS ORDINE DI BONIFICO SU ESTERO RIF.   111014808801 E</t>
  </si>
  <si>
    <t xml:space="preserve">ANNEROSE STEINKE </t>
  </si>
  <si>
    <t xml:space="preserve">VS ORDINE DI BONIFICO SU ESTERO RIF.   111014854259  </t>
  </si>
  <si>
    <t xml:space="preserve">UNIVERSITT KLAGENFURT </t>
  </si>
  <si>
    <t xml:space="preserve">VS ORDINE DI BONIFICO SU ESTERO RIF.   111015077619 </t>
  </si>
  <si>
    <t>NIVERSITT KLAGENFURT</t>
  </si>
  <si>
    <t xml:space="preserve">VS ORDINE DI BONIFICO SU ESTERO RIF.   111015077659 </t>
  </si>
  <si>
    <t>JESCO HUMPOLA</t>
  </si>
  <si>
    <t>VS ORDINE DI BONIFICO SU ESTERO RIF.   111015077722</t>
  </si>
  <si>
    <t>BLAZON PUBLISHING AND MEDIA</t>
  </si>
  <si>
    <t>VS ORDINE DI BONIFICO SU ESTERO RIF.   111015108163  INVOICE EU/RR/2052</t>
  </si>
  <si>
    <t xml:space="preserve"> ZIB UST</t>
  </si>
  <si>
    <t>VS ORDINE DI BONIFICO SU ESTERO RIF.   111015108293   ZIB UST COST TD1207 - INVOICE N. 20396</t>
  </si>
  <si>
    <t>VS ORDINE DI BONIFICO SU ESTERO RIF.   111015108467</t>
  </si>
  <si>
    <t>VS ORDINE DI BONIFICO SU ESTERO RIF.   111015108413 A   ZIB UST COST TD1207 - INVOICE N.20395</t>
  </si>
  <si>
    <t xml:space="preserve"> IMMANUEL BOMZE</t>
  </si>
  <si>
    <t xml:space="preserve">BOGLARKA TOTH </t>
  </si>
  <si>
    <t xml:space="preserve">VS ORDINE DI BONIFICO SU ESTERO RIF.   111015153039 </t>
  </si>
  <si>
    <t>Dimitri Thomopulos</t>
  </si>
  <si>
    <t xml:space="preserve">DISPOSIZIONE DI BONIFICO BONIFICO SEPA A  Dimitri Thomopulos </t>
  </si>
  <si>
    <t xml:space="preserve">ADRIEN TAYLOR </t>
  </si>
  <si>
    <t>VS ORDINE DI BONIFICO SU ESTERO RIF.   111015153250 E</t>
  </si>
  <si>
    <t>Z. SUN</t>
  </si>
  <si>
    <t xml:space="preserve">VS ORDINE DI BONIFICO SU ESTERO RIF.   111015153473 </t>
  </si>
  <si>
    <t xml:space="preserve">RICHARD MOLNARSZIPAI </t>
  </si>
  <si>
    <t xml:space="preserve">  JIANZHE ZHEN</t>
  </si>
  <si>
    <t xml:space="preserve">VS ORDINE DI BONIFICO SU ESTERO RIF.   111015153553 </t>
  </si>
  <si>
    <t xml:space="preserve">JONAS SCHWEIGER </t>
  </si>
  <si>
    <t>FELIPE SERRANO</t>
  </si>
  <si>
    <t>RALF LENZ</t>
  </si>
  <si>
    <t xml:space="preserve">natalia hadjidimitriou </t>
  </si>
  <si>
    <t>Mauro Dell Amico</t>
  </si>
  <si>
    <t xml:space="preserve">ANDREA LODI </t>
  </si>
  <si>
    <t xml:space="preserve"> JESCO HUMPOLA </t>
  </si>
  <si>
    <t>Claudio Gambella</t>
  </si>
  <si>
    <t>Luca Labellarte</t>
  </si>
  <si>
    <t xml:space="preserve">NERIJUS GALIAUSKAS </t>
  </si>
  <si>
    <t xml:space="preserve">AGN DZIDOLIKAIT </t>
  </si>
  <si>
    <t>LEYLA DEMIR</t>
  </si>
  <si>
    <t xml:space="preserve"> JULIUS LINSKAS</t>
  </si>
  <si>
    <t xml:space="preserve"> STEFAN WIESBERG</t>
  </si>
  <si>
    <t xml:space="preserve"> SEBASTIAN RICHTER</t>
  </si>
  <si>
    <t xml:space="preserve">  DOAN LONG</t>
  </si>
  <si>
    <t xml:space="preserve"> VIKTOR BINDEWALD </t>
  </si>
  <si>
    <t xml:space="preserve"> JANNIS KURTZ</t>
  </si>
  <si>
    <t>AUDRIUS VARONECKAS</t>
  </si>
  <si>
    <t xml:space="preserve"> ALGIRDAS LANCINSKAS</t>
  </si>
  <si>
    <t>KONSTANTINOS TAVLARIDIS-</t>
  </si>
  <si>
    <t>Fabrizio lacalandra</t>
  </si>
  <si>
    <t xml:space="preserve">SVEN MALLACH </t>
  </si>
  <si>
    <t xml:space="preserve"> ULRIKE SCHORR </t>
  </si>
  <si>
    <t xml:space="preserve">JUSTIN BUHENDWA </t>
  </si>
  <si>
    <t xml:space="preserve"> M. BALVERT </t>
  </si>
  <si>
    <t xml:space="preserve"> DR K I &amp; DR M L MCKINNON</t>
  </si>
  <si>
    <t>FRANCESCO SILVESTRI</t>
  </si>
  <si>
    <t xml:space="preserve">  QIN XIN</t>
  </si>
  <si>
    <t>VANESA GUERRERO LOZANO</t>
  </si>
  <si>
    <t xml:space="preserve">LENA HUPP </t>
  </si>
  <si>
    <t>Tramontani Andrea</t>
  </si>
  <si>
    <t xml:space="preserve"> GOKHAN KIRLIK</t>
  </si>
  <si>
    <t xml:space="preserve">SAMUEL ROSAT </t>
  </si>
  <si>
    <t>CLAUDIA D AMBROSIO</t>
  </si>
  <si>
    <t xml:space="preserve"> CHRISTOPH HELMBERG</t>
  </si>
  <si>
    <t xml:space="preserve"> QIN XIN </t>
  </si>
  <si>
    <t xml:space="preserve">GEJZA DOHNAL </t>
  </si>
  <si>
    <t xml:space="preserve">ANNETTE RYTER </t>
  </si>
  <si>
    <t xml:space="preserve"> MARCIO COSTA</t>
  </si>
  <si>
    <t xml:space="preserve">  KRZYSZTOF POSTEK</t>
  </si>
  <si>
    <t xml:space="preserve"> FALKNER &amp; ANJOS C</t>
  </si>
  <si>
    <t xml:space="preserve"> LAUREANO ESCUDERO</t>
  </si>
  <si>
    <t xml:space="preserve">  IMMANUEL BOMZE</t>
  </si>
  <si>
    <t>JAKOB SCHELBERT</t>
  </si>
  <si>
    <t>MAXIMILIAN MERKERT</t>
  </si>
  <si>
    <t xml:space="preserve"> ELISABETH GAAR </t>
  </si>
  <si>
    <t xml:space="preserve"> MICHAEL DIEKERHOF </t>
  </si>
  <si>
    <t>BENJAMIN HILLER</t>
  </si>
  <si>
    <t xml:space="preserve">JONATHAN LEE </t>
  </si>
  <si>
    <t xml:space="preserve">JEAN-BAPTISTE HIRIART-URRUTY </t>
  </si>
  <si>
    <t>DR K I &amp; DR M L MCKINNON</t>
  </si>
  <si>
    <t>METTE HELENE BJRNDAL</t>
  </si>
  <si>
    <t xml:space="preserve"> YORAM HADDAD</t>
  </si>
  <si>
    <t xml:space="preserve"> P. MATHIOPOULOS</t>
  </si>
  <si>
    <t xml:space="preserve"> MARTIN MEVISSEN</t>
  </si>
  <si>
    <t>MINDAUGAS AZUBALIS</t>
  </si>
  <si>
    <t>VALENTINA CACCHIANI</t>
  </si>
  <si>
    <t xml:space="preserve"> FILIPE BRANDO</t>
  </si>
  <si>
    <t xml:space="preserve">MARKUS SINNL </t>
  </si>
  <si>
    <t xml:space="preserve"> IMMANUEL BOMZE </t>
  </si>
  <si>
    <t>Insufficente stanziamento</t>
  </si>
  <si>
    <t>DIMOSTRAZIONE AVANZO DI AMMINISTRAZIONE 2014</t>
  </si>
  <si>
    <t>Fondo di cassa all'1.01.2014 (C/C 000011138764)</t>
  </si>
  <si>
    <t>Fondo di cassa all'1.01.2014 (C/C 000102150855)</t>
  </si>
  <si>
    <t>FINANZIAMENTO COST</t>
  </si>
  <si>
    <t>FT. 11 DEL 17/11/2014</t>
  </si>
  <si>
    <t>FT. 13 DEL 3/12/2014</t>
  </si>
  <si>
    <t>DISPOSIZIONE DI BONIFICO BONIFICO SEPA A  EMMEDELTA CONSULTING S.R.L. PER  FT 94 DEL 30/06/2014 (CGS) COMM              0,00 SPESE              0,00 TRN 1101142950037104</t>
  </si>
  <si>
    <t>DISPOSIZIONE DI BONIFICO BONIFICO SEPA A  EMMEDELTA CONSULTING S.R.L. PER  FT 107 DEL 30/07/2014 (CGS) COMM              0,00 SPESE              0,00 TRN 1101142950039253</t>
  </si>
  <si>
    <t>IMPRENDO ONE EDIZIONE 1  COSTO FISSO MESE DI OTTOBRE 2014</t>
  </si>
  <si>
    <t>DISPOSIZIONE DI BONIFICO BONIFICO SEPA A  MAURO DELL AMICO PER  RIMBORSO ARUBA SITO WEB COMM              0,00 SPESE              0,00 TRN 1201143040429521</t>
  </si>
  <si>
    <t>DISPOSIZIONE DI BONIFICO BONIFICO SEPA A  MAURO DELL AMICO PER  RIMBORSO MISSIONE A FIRENZE ALL ICT  DAYS IL 7/10/2014 (CGS) TRN 1201143040429675</t>
  </si>
  <si>
    <t>DISPOSIZIONE DI BONIFICO BONIFICO SEPA A  MAURO DELL AMICO PER  MISSIONE A MILANO IL 1/10/2014 (CGS ) TRN 1201143040429815</t>
  </si>
  <si>
    <t>DISPOSIZIONE DI BONIFICO BONIFICO SEPA A  MAURO DELL AMICO PER  RIMBORSO SERVIZIO HOSTING (PROGETTO  HR) TRN 1201143040429946</t>
  </si>
  <si>
    <t>DISPOSIZIONE DI BONIFICO BONIFICO SEPA A  MAURO DELL AMICO PER  RIMBORSO SPESE STAMPA COMM              0,00 SPESE              0,00 TRN 1201143040430095</t>
  </si>
  <si>
    <t>DISPOSIZIONE DI BONIFICO BONIFICO SEPA A  SILVIA CABASSI PER  FT. 293 DEL 20/10/2014 COMM              0,00 SPESE              0,00 TRN 1101143130019176</t>
  </si>
  <si>
    <t>DISPOSIZIONE DI BONIFICO BONIFICO SEPA A  DIAZ DIAZ JOSE CARLOS PER  RIMBORSO AEREO 6/12/2014 COMM              0,00 SPESE              0,00 TRN 1101143270016026</t>
  </si>
  <si>
    <t>DISPOSIZIONE DI BONIFICO BONIFICO SEPA A  DIAZ DIAZ JOSE CARLOS PER  RIMBORSI VARI - SOFTWARE (20.11) ME MORIA PC (78) TRN 1101143270016154</t>
  </si>
  <si>
    <t>IMPRENDO ONE EDIZIONE 1  COSTO FISSO MESE DI NOVEMBRE 2014</t>
  </si>
  <si>
    <t>DISPOSIZIONE DI BONIFICO BONIFICO SEPA A  EMMEDELTA CONSULTING S.R.L. PER  VS FATTURE 121 DEL 31/08/2014 E 130  DEL 30/09/2014 TRN 1101143330030755</t>
  </si>
  <si>
    <t>DISPOSIZIONE DI BONIFICO BONIFICO SEPA A  GRAZIA CATTANI PER  RIMBORSI VARI (POSTA 9.30)(CANCELLE RIA 16.62) TRN 1101143330031043</t>
  </si>
  <si>
    <t>DISPOSIZIONE DI BONIFICO BONIFICO SEPA A  TIABOU ROGER SERGE PER  COMPENSO 6/10-30/11/2014 COMM              0,00 SPESE              0,00 TRN 1101143330031611</t>
  </si>
  <si>
    <t>DISPOSIZIONE DI BONIFICO BONIFICO SEPA A  TIABOU ROGER SERGE PER  RIMBORSO SPESE COMM              0,00 SPESE              0,00 TRN 1101143330033369</t>
  </si>
  <si>
    <t>DISPOSIZIONE DI BONIFICO BONIFICO SEPA A  KEISNA S.R.L. PER  VS. FATTURA 11 DEL 28/11/2014 COMM              0,00 SPESE              0,00 TRN 1101143430293335</t>
  </si>
  <si>
    <t>BONIFICO A VOSTRO FAVORE BONIFICO SEPA DA  ERTICO SCRL PER  HEERO2 GA 325075 AP2 COMM              0,00 SPESE              0,00 TRN 1001143498046667</t>
  </si>
  <si>
    <t>DISPOSIZIONE DI BONIFICO BONIFICO SEPA A  FISSER ELISABETTA PER  FT. 3 DEL 4/12/2014 COMM              0,00 SPESE              0,00 TRN 1101143490644598</t>
  </si>
  <si>
    <t>DISPOSIZIONE DI BONIFICO BONIFICO SEPA A  PAOLO DECARO PER  FT. 10 DEL 11/12/2014 (HRT) COMM              0,00 SPESE              0,00 TRN 1101143490645019</t>
  </si>
  <si>
    <t>BONIFICO A VOSTRO FAVORE BONIFICO SEPA DA  DELL AMICO MAURO PER  restituzione per errato versamento COMM              0,00 SPESE              0,00 TRN 1201143500259066</t>
  </si>
  <si>
    <t>DISPOSIZIONE DI BONIFICO BONIFICO SEPA A  NATALIA HADJIDIMITRIOU PER  COMPENSO OTTOBRE 2014 (PAGATO PER E RRORE A DELL AMICO) TRN 1101143530186196</t>
  </si>
  <si>
    <t>DISPOSIZIONE DI BONIFICO BONIFICO SEPA A  FISSER ELISABETTA PER  VS FATTURA 4 DEL 17/12/2014 (SDM) COMM              0,00 SPESE              0,00 TRN 1101143530192804</t>
  </si>
  <si>
    <t>DISPOSIZIONE DI BONIFICO BONIFICO SEPA A  FERRARINI CHIARA PER  RIMBORSO CHIARA FERRARINI MARCHE DA  BOLLO CO.CO.CO. TRN 1101143550021641</t>
  </si>
  <si>
    <t>DISPOSIZIONE DI BONIFICO BONIFICO SEPA A  MAURO DELL AMICO PER  COMPENSO MAURO DELL AMICO PROGETTO DALLARA TRN 1201143550021858</t>
  </si>
  <si>
    <t>DISPOSIZIONE DI BONIFICO BONIFICO SEPA A  MAURO DELL AMICO PER  MISSIONI A MILANO PRESSO CGS 29/10 - 3/11- 11/12 - 18/11/2014 TRN 1201143550022963</t>
  </si>
  <si>
    <t>DISPOSIZIONE DI BONIFICO BONIFICO SEPA A  NATALIA HADJIDIMITRIOU PER  COMPENSO DICEMBRE 2014 COMM              0,00 SPESE              0,00 TRN 1101143530187189</t>
  </si>
  <si>
    <t>DISPOSIZIONE DI BONIFICO BONIFICO SEPA A  SERENA FRUTTALDO PER  COMPENSO DICEMBRE 2014 COMM              0,00 SPESE              0,00 TRN 1101143530189265</t>
  </si>
  <si>
    <t>DISPOSIZIONE DI BONIFICO BONIFICO SEPA A  MAURO DELL AMICO PER  RIMBORSO DIVERSE MISSIONI A VARANO MELEGALI (FONDI DALLARA) TRN 1201143650215018</t>
  </si>
  <si>
    <t>DISPOSIZIONE DI BONIFICO BONIFICO SEPA A  MAURO DELL AMICO PER  RIMBORSO SPESE DI RAPPRESENTANZA (F ONDI DALLARA) TRN 1201143650215977</t>
  </si>
  <si>
    <t>DISPOSIZIONE DI BONIFICO BONIFICO SEPA A  MAURO DELL AMICO PER  MISSIONE A BRUSSELS 13-14 NOVEMBRE 2014 (DALLARA) TRN 1201143650217338</t>
  </si>
  <si>
    <t>DISPOSIZIONE DI BONIFICO BONIFICO SEPA A  MAURO DELL AMICO PER  ASSEMBLEA A BOLOGNA IL 27/11/14 (GE STIONE CONSORZIO) TRN 1201143650218141</t>
  </si>
  <si>
    <t>DISPOSIZIONE DI BONIFICO BONIFICO SEPA A  NATALIA HADJIDIMITRIOU PER  MEETING A MADRID 25/11-1/12/2014 PR OGETTO HERO2 TRN 1101143650218724</t>
  </si>
  <si>
    <t>IMPRENDO ONE EDIZIONE 1  COSTO FISSO MESE DI DICEMBRE 2014</t>
  </si>
  <si>
    <t>Dalla banca risulta al  c/c 000011138764 al 31/12/2014</t>
  </si>
  <si>
    <t>Dalla banca risulta al c/c 102712364 al 31/12/2014</t>
  </si>
  <si>
    <t>FT.12 DEL 3/12/2014</t>
  </si>
  <si>
    <t>FT. 13  DEL 3/12/2014</t>
  </si>
  <si>
    <t xml:space="preserve"> DA  S.D.M. SOCIETA  DISTRIBUTRICE FATTURA 9 DEL 7/10/2014</t>
  </si>
  <si>
    <t xml:space="preserve"> DA  CGS S P A  COMPAGNIA GENERALE PER L  O SPAZIO FATTURA 8 DEL 25/09/2014      </t>
  </si>
  <si>
    <t>DA  ABB SPA PER  FATTURA 7 DEL 22/09</t>
  </si>
  <si>
    <t>DA  S.D.M. SOCIETA  DISTRIBUTRICE FATTURA11 DEL 17/11/2014</t>
  </si>
  <si>
    <t>HEERO2</t>
  </si>
  <si>
    <t>IMPRENDO ONE  COSTO FISSO MESE DI OTTOBRE 2014</t>
  </si>
  <si>
    <t>IMPRENDO ONE  COSTO FISSO MESE DI NOVEMBRE 2014</t>
  </si>
  <si>
    <t>DISPOSIZIONE DI BONIFICO BONIFICO SEPA A  MAURO DELL AMICO PER  RIMBORSO SPESE DHL (PROGETTO COST) COMM              0,00 SPESE              0,00 TRN 1201143550022429</t>
  </si>
  <si>
    <t>BONIFICO A VOSTRO FAVORE BONIFICO SEPA DA  FONDATION EUROPEENNE DE LA SCIENCE COMM              0,00 SPESE              0,00 COMM SERV              0,00 TRN 1001143578038017</t>
  </si>
  <si>
    <t>IMPRENDO ONE  COSTO FISSO MESE DI SETTEMBRE 2014</t>
  </si>
  <si>
    <t xml:space="preserve"> DA  CGS SPA Compagnia Genera  N. 6 DEL 30/06/2014      </t>
  </si>
  <si>
    <t>IMPRENDO ONE EDIZIONE 1  COSTO FISSO MESE DI SETTEMBRE 2014</t>
  </si>
  <si>
    <t>DISPOSIZIONE DI BONIFICO BONIFICO SEPA A  SERENA FRUTTALDO PER  COMPENSO SETTEMBRE 2014 COMM              0,00 SPESE              0,00 TRN 1101142770036492</t>
  </si>
  <si>
    <t>DISPOSIZIONE DI BONIFICO BONIFICO SEPA A  MAURO DELL AMICO PER  MISSIONE A BRUSSELS IL 23-25 SETTEM BRE TRN 1201142830158405</t>
  </si>
  <si>
    <t>DISPOSIZIONE DI BONIFICO BONIFICO SEPA A  MAURO DELL AMICO PER  MISSIONE A BRUSSELS 17/18 SETTEMBRE  2014 TRN 1201142830159200</t>
  </si>
  <si>
    <t>HR</t>
  </si>
  <si>
    <t>SILVIA CABASSI</t>
  </si>
  <si>
    <t>TIABOU ROGER SERGE</t>
  </si>
  <si>
    <t>KEISNA</t>
  </si>
  <si>
    <t>FISSER ELISABETTA</t>
  </si>
  <si>
    <t>PAOLO DECARO</t>
  </si>
  <si>
    <t>HRT</t>
  </si>
  <si>
    <t>PAGAMENTO DELEGHE F23/F24 PRENOTATE PAGAMENTO FISCO/INPS/REGIONI VERSAMENTO CATTANI</t>
  </si>
  <si>
    <t>PAGAMENTO DELEGHE F23/F24 PRENOTATE PAGAMENTO FISCO/INPS/REGIONI VERSAMENTO IRPEF CABASSI</t>
  </si>
  <si>
    <t>PAGAMENTO DELEGHE F23/F24 PRENOTATE PAGAMENTO FISCO/INPS/REGIONI VERSAMENTO INPS CO.CO.CO. SETTEMBRE</t>
  </si>
  <si>
    <t>DISPOSIZIONE DI BONIFICO BONIFICO SEPA A  MAURO DELL AMICO PER  COMPENSO OTTOBRE 2014 - PAGATO PER ERRORE A DELL'AMICO MA DOVEVA ESSERE PAGATO A SELINI</t>
  </si>
  <si>
    <t>31/12//2014</t>
  </si>
  <si>
    <t>COMPENSO OTTOBRE 2014-IRPEF PAGATO PER ERRORE A DELL'AMICO (ERA DI HADJIDIMITRIOU)</t>
  </si>
  <si>
    <t>COMPENSO OTTOBRE 2014-INPS PAGATO PER ERRORE A DELL'AMICO (ERA DI HADJIDIMITRIOU)</t>
  </si>
  <si>
    <t>COMPENSO OTTOBRE 2014-INAIL PAGATO PER ERRORE A DELL'AMICO (ERA DI HADJIDIMITRIOU)</t>
  </si>
  <si>
    <t>INPS A CARICO ENTE MESE DI OTTOBRE 2014-INAIL PAGATO PER ERRORE A DELL'AMICO (ERA DI HADJIDIMITRIOU)</t>
  </si>
  <si>
    <t>INAIL A CARICO ENTE MESE DI OTTOBRE 2014-INAIL PAGATO PER ERRORE A DELL'AMICO (ERA DI HADJIDIMITRIOU)</t>
  </si>
  <si>
    <t>COMPENSO OTTOBRE 2014-CREDITO IRPEF DOVEVA ESSERE PAGATO A HADJIDIMITRIOU</t>
  </si>
  <si>
    <t>COMPENSO OTTOBRE 2014 - ARROTONDAMENTO  DOVEVA ESSERE PAGATO A HADJIDIMITRIOU</t>
  </si>
  <si>
    <t>INPS A CARICO ENTE MESE DI OTTOBRE 2014 DOVEVA ESSERE PAGATO A HADJIDIMITRIOU</t>
  </si>
  <si>
    <t>INAIL A CARICO ENTE MESE DI OTTOBRE  2014  DOVEVA ESSERE PAGATO A HADJIDIMITRIOU</t>
  </si>
  <si>
    <t>INPS A CARICO ENTE MESE DI dicembre2014</t>
  </si>
  <si>
    <t xml:space="preserve">INAIL A CARICO ENTE MESE DI dicembre  2014 </t>
  </si>
  <si>
    <t>COMPENSO dicembre 2014-ARROTOND. PREC</t>
  </si>
  <si>
    <t>COMPENSO dicembre 2014-IRPEF</t>
  </si>
  <si>
    <t>COMPENSO dicembre 2014-INPS</t>
  </si>
  <si>
    <t>COMPENSO dicembre 2014-INAIL</t>
  </si>
  <si>
    <t>COMPENSO dicembre 2014-CREDITO IRPEF</t>
  </si>
  <si>
    <t>INPS A CARICO ENTE MESE DI dicembre2014NATALIA</t>
  </si>
  <si>
    <t>INAIL A CARICO ENTE MESE DI dicembre  2014 NATALIA</t>
  </si>
  <si>
    <t>COMPENSO dicebre 2014-INAIL</t>
  </si>
  <si>
    <t>INPS A CARICO ENTE MESE DI dicembre2014 NATALIA</t>
  </si>
  <si>
    <t>INAIL A CARICO ENTE MESE DI dicembre  2014  NATALIA</t>
  </si>
  <si>
    <t>COMPENSO OTTOBRE 2014-IARROTOND. PREC  PAGATO PER ERRORE A DELL'AMICO (ERA DI HADJIDIMITRIOU)</t>
  </si>
  <si>
    <t>F.E.1.02.02 Totale</t>
  </si>
  <si>
    <t>F.E.1.03.01 Totale</t>
  </si>
  <si>
    <t>F.E.1.04.01 Totale</t>
  </si>
  <si>
    <t>F.E.1.04.02 Totale</t>
  </si>
  <si>
    <t>F.E.2.06.04 Totale</t>
  </si>
  <si>
    <t>F.E.3.08.02 Totale</t>
  </si>
  <si>
    <t>F.E.3.08.03 Totale</t>
  </si>
  <si>
    <t>F.E.3.08.04 Totale</t>
  </si>
  <si>
    <t>Totale complessivo</t>
  </si>
  <si>
    <t>COMPENSO MARZO 2014 - IRPEF</t>
  </si>
  <si>
    <t>COMPENSO MARZO 2014 - INPS</t>
  </si>
  <si>
    <t>COMPENSO MARZO 2014 - INAIL</t>
  </si>
  <si>
    <t>COMPENSO GENNAIO 2014 - IRPEF</t>
  </si>
  <si>
    <t>COMPENSO GENNAIO 2014 - INPS</t>
  </si>
  <si>
    <t>COMPENSO GENNAIO 2014-INAIL</t>
  </si>
  <si>
    <t>F.S.1.01.01 Totale</t>
  </si>
  <si>
    <t>F.S.1.01.02 Totale</t>
  </si>
  <si>
    <t>F.S.1.02.01 Totale</t>
  </si>
  <si>
    <t>F.S.1.02.03 Totale</t>
  </si>
  <si>
    <t>F.S.1.03.02 Totale</t>
  </si>
  <si>
    <t>F.S.1.03.03 Totale</t>
  </si>
  <si>
    <t>F.S.1.03.11 Totale</t>
  </si>
  <si>
    <t>F.S.1.04.01 Totale</t>
  </si>
  <si>
    <t>F.S.1.05.01 Totale</t>
  </si>
  <si>
    <t>F.S.1.05.02 Totale</t>
  </si>
  <si>
    <t>F.S.1.06.01 Totale</t>
  </si>
  <si>
    <t>F.S.1.07.01 Totale</t>
  </si>
  <si>
    <t>F.S.1.08.02 Totale</t>
  </si>
  <si>
    <t>F.S.2.09.04 Totale</t>
  </si>
  <si>
    <t>F.S.3.09.02 Totale</t>
  </si>
  <si>
    <t>F.S.3.09.03 Totale</t>
  </si>
  <si>
    <t>F.S.3.09.04 Totale</t>
  </si>
  <si>
    <t>COMPENSO DOTT.SSA CATTANI II SEM 2014</t>
  </si>
  <si>
    <t>COMPENSO REVISORE 2014</t>
  </si>
  <si>
    <t>COMPENSO ATTIVITA' 2014</t>
  </si>
  <si>
    <t>TOTALI</t>
  </si>
  <si>
    <t>GESTIONE RESIDUI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</si>
  <si>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</si>
  <si>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</si>
  <si>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</si>
  <si>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</si>
  <si>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</si>
  <si>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</si>
  <si>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</si>
  <si>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</si>
  <si>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</si>
  <si>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</si>
  <si>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F.S.1.04.02</t>
  </si>
  <si>
    <t>F.S.1.04.02 Totale</t>
  </si>
  <si>
    <t>Importo residuo</t>
  </si>
  <si>
    <t>FINANZIAMENTO COST- recupero boglarka</t>
  </si>
  <si>
    <t>Girofondi dal conto COST ad ICOOR</t>
  </si>
  <si>
    <t xml:space="preserve"> da ICOOR a COST per pareggio conto corrente</t>
  </si>
  <si>
    <t>Arrotondamenti + errato versamento a Dell'amico</t>
  </si>
  <si>
    <t>VERSAMENTI COMPENSI MESE DI DICEMBRE (16/01/2015)</t>
  </si>
  <si>
    <t>Erario C/irpef</t>
  </si>
  <si>
    <t>VERSAMENTI COMPENSI MESE DI DICEMBRE (23/02/2015)</t>
  </si>
  <si>
    <t>Erario c/inps</t>
  </si>
  <si>
    <t>11/2014</t>
  </si>
  <si>
    <t>12/2014</t>
  </si>
  <si>
    <t>ASSESTAMENTO PARTITE DI GIRO</t>
  </si>
  <si>
    <t>Ritenute extraerariali</t>
  </si>
  <si>
    <t>Prendo dallo stanziamento del Cost, visto che sono spese COST</t>
  </si>
  <si>
    <t>Risparmio versamenti da iva portata in detrazione</t>
  </si>
  <si>
    <t>Tutto il disponibile nel fondo di riserva</t>
  </si>
  <si>
    <t>situazione fatture emesse</t>
  </si>
  <si>
    <t>Assestamento attività commerciale - maggiori incassi rispetto ai 70.000 in previsione</t>
  </si>
  <si>
    <t>n. variazione</t>
  </si>
  <si>
    <t>data</t>
  </si>
  <si>
    <t>codice capitolo</t>
  </si>
  <si>
    <t>descrizione capitolo</t>
  </si>
  <si>
    <t>importo</t>
  </si>
  <si>
    <t>causale</t>
  </si>
  <si>
    <t>note</t>
  </si>
  <si>
    <t>non pagata nel 2014</t>
  </si>
  <si>
    <t>DA POLITECNICO ATTRAVERSO DESERVE PER ERTICO 2013</t>
  </si>
  <si>
    <t>AVANZO  DI AMMINISTRAZIONE AL 31/12/2014</t>
  </si>
  <si>
    <t>Avanzo di cassa al 31/12/2014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</si>
</sst>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0.00;[Red]0.00"/>
    <numFmt numFmtId="166" formatCode="#,##0.00_ ;[Red]\-#,##0.00\ "/>
    <numFmt numFmtId="167" formatCode="&quot;€&quot;\ #,##0.00"/>
    <numFmt numFmtId="168" formatCode="dd/mm/yy;@"/>
    <numFmt numFmtId="169" formatCode="mmm\-yyyy"/>
    <numFmt numFmtId="170" formatCode="[$-410]dddd\ d\ mmmm\ yyyy"/>
    <numFmt numFmtId="171" formatCode="h\.mm\.ss"/>
    <numFmt numFmtId="172" formatCode="#,##0.00_ ;\-#,##0.00\ "/>
    <numFmt numFmtId="173" formatCode="[$€-2]\ #.##000_);[Red]\([$€-2]\ #.##000\)"/>
    <numFmt numFmtId="174" formatCode="[$€-2]\ #,##0.00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_-[$€-410]\ * #,##0.00_-;\-[$€-410]\ * #,##0.00_-;_-[$€-410]\ * &quot;-&quot;??_-;_-@_-"/>
    <numFmt numFmtId="183" formatCode="_-&quot;€&quot;\ * #,##0.000_-;\-&quot;€&quot;\ * #,##0.000_-;_-&quot;€&quot;\ * &quot;-&quot;??_-;_-@_-"/>
    <numFmt numFmtId="184" formatCode="_-&quot;€&quot;\ * #,##0.000_-;\-&quot;€&quot;\ * #,##0.000_-;_-&quot;€&quot;\ * &quot;-&quot;?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ouble"/>
      <top style="double"/>
      <bottom style="thin"/>
    </border>
    <border>
      <left style="double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3" borderId="10" applyNumberFormat="0" applyProtection="0">
      <alignment horizontal="left"/>
    </xf>
    <xf numFmtId="173" fontId="25" fillId="33" borderId="10" applyProtection="0">
      <alignment horizontal="right"/>
    </xf>
    <xf numFmtId="173" fontId="25" fillId="33" borderId="10" applyProtection="0">
      <alignment horizontal="right"/>
    </xf>
    <xf numFmtId="0" fontId="24" fillId="33" borderId="10" applyNumberFormat="0" applyProtection="0">
      <alignment horizontal="left"/>
    </xf>
    <xf numFmtId="173" fontId="24" fillId="33" borderId="10" applyProtection="0">
      <alignment horizontal="right"/>
    </xf>
    <xf numFmtId="14" fontId="24" fillId="33" borderId="10" applyProtection="0">
      <alignment horizontal="left"/>
    </xf>
    <xf numFmtId="14" fontId="24" fillId="33" borderId="10" applyProtection="0">
      <alignment horizontal="left"/>
    </xf>
  </cellStyleXfs>
  <cellXfs count="6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top"/>
    </xf>
    <xf numFmtId="0" fontId="8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19" fillId="35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35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44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44" fontId="2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top" wrapText="1"/>
    </xf>
    <xf numFmtId="166" fontId="5" fillId="0" borderId="16" xfId="0" applyNumberFormat="1" applyFont="1" applyFill="1" applyBorder="1" applyAlignment="1">
      <alignment horizontal="right" vertical="top" wrapText="1"/>
    </xf>
    <xf numFmtId="166" fontId="5" fillId="0" borderId="28" xfId="0" applyNumberFormat="1" applyFont="1" applyFill="1" applyBorder="1" applyAlignment="1">
      <alignment horizontal="right" vertical="top" wrapText="1"/>
    </xf>
    <xf numFmtId="166" fontId="5" fillId="0" borderId="17" xfId="0" applyNumberFormat="1" applyFont="1" applyFill="1" applyBorder="1" applyAlignment="1">
      <alignment horizontal="right" vertical="top" wrapText="1"/>
    </xf>
    <xf numFmtId="166" fontId="5" fillId="0" borderId="29" xfId="0" applyNumberFormat="1" applyFont="1" applyFill="1" applyBorder="1" applyAlignment="1">
      <alignment horizontal="right" vertical="top" wrapText="1"/>
    </xf>
    <xf numFmtId="166" fontId="5" fillId="0" borderId="30" xfId="0" applyNumberFormat="1" applyFont="1" applyFill="1" applyBorder="1" applyAlignment="1">
      <alignment horizontal="right" vertical="top" wrapText="1"/>
    </xf>
    <xf numFmtId="166" fontId="4" fillId="0" borderId="31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 vertical="center"/>
    </xf>
    <xf numFmtId="166" fontId="15" fillId="0" borderId="17" xfId="0" applyNumberFormat="1" applyFont="1" applyFill="1" applyBorder="1" applyAlignment="1">
      <alignment vertical="center"/>
    </xf>
    <xf numFmtId="166" fontId="15" fillId="0" borderId="29" xfId="0" applyNumberFormat="1" applyFont="1" applyFill="1" applyBorder="1" applyAlignment="1">
      <alignment vertical="center"/>
    </xf>
    <xf numFmtId="166" fontId="15" fillId="0" borderId="30" xfId="0" applyNumberFormat="1" applyFont="1" applyFill="1" applyBorder="1" applyAlignment="1">
      <alignment vertical="center"/>
    </xf>
    <xf numFmtId="166" fontId="5" fillId="0" borderId="28" xfId="0" applyNumberFormat="1" applyFont="1" applyFill="1" applyBorder="1" applyAlignment="1">
      <alignment vertical="center"/>
    </xf>
    <xf numFmtId="166" fontId="5" fillId="0" borderId="32" xfId="0" applyNumberFormat="1" applyFont="1" applyFill="1" applyBorder="1" applyAlignment="1">
      <alignment vertical="center"/>
    </xf>
    <xf numFmtId="166" fontId="5" fillId="0" borderId="29" xfId="0" applyNumberFormat="1" applyFont="1" applyFill="1" applyBorder="1" applyAlignment="1">
      <alignment horizontal="right" wrapText="1"/>
    </xf>
    <xf numFmtId="166" fontId="5" fillId="0" borderId="30" xfId="0" applyNumberFormat="1" applyFont="1" applyFill="1" applyBorder="1" applyAlignment="1">
      <alignment horizontal="right" wrapText="1"/>
    </xf>
    <xf numFmtId="166" fontId="5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horizontal="center" vertical="top" wrapText="1"/>
    </xf>
    <xf numFmtId="166" fontId="9" fillId="0" borderId="30" xfId="0" applyNumberFormat="1" applyFont="1" applyFill="1" applyBorder="1" applyAlignment="1">
      <alignment horizontal="center" vertical="top" wrapText="1"/>
    </xf>
    <xf numFmtId="166" fontId="5" fillId="0" borderId="17" xfId="0" applyNumberFormat="1" applyFont="1" applyFill="1" applyBorder="1" applyAlignment="1">
      <alignment vertical="center"/>
    </xf>
    <xf numFmtId="166" fontId="4" fillId="0" borderId="32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vertical="center"/>
    </xf>
    <xf numFmtId="166" fontId="5" fillId="0" borderId="30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166" fontId="2" fillId="0" borderId="30" xfId="0" applyNumberFormat="1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/>
    </xf>
    <xf numFmtId="166" fontId="5" fillId="0" borderId="30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 vertical="top" wrapText="1"/>
    </xf>
    <xf numFmtId="0" fontId="5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35" borderId="34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horizontal="center" vertical="center" wrapText="1"/>
    </xf>
    <xf numFmtId="4" fontId="7" fillId="35" borderId="36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top" wrapText="1"/>
    </xf>
    <xf numFmtId="166" fontId="2" fillId="0" borderId="28" xfId="0" applyNumberFormat="1" applyFont="1" applyFill="1" applyBorder="1" applyAlignment="1">
      <alignment horizontal="center" vertical="top" wrapText="1"/>
    </xf>
    <xf numFmtId="166" fontId="2" fillId="0" borderId="32" xfId="0" applyNumberFormat="1" applyFont="1" applyFill="1" applyBorder="1" applyAlignment="1">
      <alignment horizontal="center" vertical="top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center" vertical="top" wrapText="1"/>
    </xf>
    <xf numFmtId="166" fontId="9" fillId="0" borderId="37" xfId="0" applyNumberFormat="1" applyFont="1" applyFill="1" applyBorder="1" applyAlignment="1">
      <alignment horizontal="center" vertical="top" wrapText="1"/>
    </xf>
    <xf numFmtId="166" fontId="9" fillId="0" borderId="31" xfId="0" applyNumberFormat="1" applyFont="1" applyFill="1" applyBorder="1" applyAlignment="1">
      <alignment horizontal="center" vertical="top" wrapText="1"/>
    </xf>
    <xf numFmtId="166" fontId="5" fillId="0" borderId="17" xfId="0" applyNumberFormat="1" applyFont="1" applyFill="1" applyBorder="1" applyAlignment="1">
      <alignment horizontal="right" wrapText="1"/>
    </xf>
    <xf numFmtId="166" fontId="9" fillId="0" borderId="29" xfId="0" applyNumberFormat="1" applyFont="1" applyFill="1" applyBorder="1" applyAlignment="1">
      <alignment horizontal="center" vertical="top" wrapText="1"/>
    </xf>
    <xf numFmtId="166" fontId="5" fillId="0" borderId="30" xfId="0" applyNumberFormat="1" applyFont="1" applyFill="1" applyBorder="1" applyAlignment="1" quotePrefix="1">
      <alignment horizontal="right" wrapText="1"/>
    </xf>
    <xf numFmtId="166" fontId="4" fillId="0" borderId="38" xfId="0" applyNumberFormat="1" applyFont="1" applyFill="1" applyBorder="1" applyAlignment="1">
      <alignment/>
    </xf>
    <xf numFmtId="166" fontId="4" fillId="0" borderId="30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9" fillId="0" borderId="39" xfId="0" applyFont="1" applyFill="1" applyBorder="1" applyAlignment="1">
      <alignment wrapText="1"/>
    </xf>
    <xf numFmtId="0" fontId="19" fillId="34" borderId="40" xfId="0" applyFont="1" applyFill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44" fontId="0" fillId="0" borderId="3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20" fillId="35" borderId="40" xfId="0" applyFont="1" applyFill="1" applyBorder="1" applyAlignment="1">
      <alignment wrapText="1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44" fontId="0" fillId="36" borderId="37" xfId="0" applyNumberFormat="1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164" fontId="7" fillId="35" borderId="36" xfId="0" applyNumberFormat="1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6" fontId="11" fillId="0" borderId="43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5" fillId="0" borderId="43" xfId="0" applyNumberFormat="1" applyFont="1" applyFill="1" applyBorder="1" applyAlignment="1">
      <alignment horizontal="right" wrapText="1"/>
    </xf>
    <xf numFmtId="166" fontId="5" fillId="0" borderId="32" xfId="0" applyNumberFormat="1" applyFont="1" applyFill="1" applyBorder="1" applyAlignment="1">
      <alignment horizontal="right" vertical="top" wrapText="1"/>
    </xf>
    <xf numFmtId="4" fontId="5" fillId="0" borderId="44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top"/>
    </xf>
    <xf numFmtId="4" fontId="5" fillId="0" borderId="29" xfId="0" applyNumberFormat="1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vertical="center"/>
    </xf>
    <xf numFmtId="4" fontId="12" fillId="0" borderId="29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/>
    </xf>
    <xf numFmtId="166" fontId="5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41" xfId="0" applyFont="1" applyFill="1" applyBorder="1" applyAlignment="1">
      <alignment/>
    </xf>
    <xf numFmtId="4" fontId="0" fillId="0" borderId="0" xfId="0" applyNumberFormat="1" applyFont="1" applyAlignment="1">
      <alignment/>
    </xf>
    <xf numFmtId="44" fontId="0" fillId="0" borderId="37" xfId="0" applyNumberFormat="1" applyFill="1" applyBorder="1" applyAlignment="1">
      <alignment/>
    </xf>
    <xf numFmtId="0" fontId="0" fillId="0" borderId="41" xfId="0" applyFont="1" applyFill="1" applyBorder="1" applyAlignment="1">
      <alignment/>
    </xf>
    <xf numFmtId="14" fontId="0" fillId="0" borderId="37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45" xfId="0" applyFont="1" applyFill="1" applyBorder="1" applyAlignment="1">
      <alignment/>
    </xf>
    <xf numFmtId="0" fontId="20" fillId="37" borderId="13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46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8" fontId="0" fillId="37" borderId="46" xfId="0" applyNumberFormat="1" applyFont="1" applyFill="1" applyBorder="1" applyAlignment="1">
      <alignment/>
    </xf>
    <xf numFmtId="0" fontId="0" fillId="37" borderId="13" xfId="0" applyFont="1" applyFill="1" applyBorder="1" applyAlignment="1" quotePrefix="1">
      <alignment/>
    </xf>
    <xf numFmtId="167" fontId="0" fillId="37" borderId="46" xfId="0" applyNumberFormat="1" applyFont="1" applyFill="1" applyBorder="1" applyAlignment="1">
      <alignment/>
    </xf>
    <xf numFmtId="0" fontId="20" fillId="37" borderId="13" xfId="0" applyFont="1" applyFill="1" applyBorder="1" applyAlignment="1" quotePrefix="1">
      <alignment/>
    </xf>
    <xf numFmtId="0" fontId="20" fillId="37" borderId="0" xfId="0" applyFont="1" applyFill="1" applyBorder="1" applyAlignment="1">
      <alignment/>
    </xf>
    <xf numFmtId="8" fontId="20" fillId="37" borderId="46" xfId="0" applyNumberFormat="1" applyFont="1" applyFill="1" applyBorder="1" applyAlignment="1">
      <alignment/>
    </xf>
    <xf numFmtId="0" fontId="0" fillId="37" borderId="46" xfId="0" applyFont="1" applyFill="1" applyBorder="1" applyAlignment="1">
      <alignment/>
    </xf>
    <xf numFmtId="168" fontId="0" fillId="36" borderId="47" xfId="0" applyNumberFormat="1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0" fillId="0" borderId="48" xfId="0" applyFont="1" applyBorder="1" applyAlignment="1">
      <alignment/>
    </xf>
    <xf numFmtId="44" fontId="20" fillId="0" borderId="48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44" fontId="19" fillId="34" borderId="0" xfId="0" applyNumberFormat="1" applyFont="1" applyFill="1" applyBorder="1" applyAlignment="1">
      <alignment wrapText="1"/>
    </xf>
    <xf numFmtId="166" fontId="5" fillId="36" borderId="3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47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49" xfId="0" applyFont="1" applyBorder="1" applyAlignment="1">
      <alignment wrapText="1"/>
    </xf>
    <xf numFmtId="44" fontId="0" fillId="0" borderId="50" xfId="0" applyNumberFormat="1" applyFont="1" applyBorder="1" applyAlignment="1">
      <alignment/>
    </xf>
    <xf numFmtId="0" fontId="19" fillId="0" borderId="47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4" borderId="51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44" fontId="0" fillId="0" borderId="52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20" fillId="35" borderId="50" xfId="0" applyNumberFormat="1" applyFont="1" applyFill="1" applyBorder="1" applyAlignment="1">
      <alignment wrapText="1"/>
    </xf>
    <xf numFmtId="0" fontId="22" fillId="35" borderId="49" xfId="0" applyFont="1" applyFill="1" applyBorder="1" applyAlignment="1">
      <alignment wrapText="1"/>
    </xf>
    <xf numFmtId="0" fontId="21" fillId="0" borderId="4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44" fontId="0" fillId="0" borderId="28" xfId="0" applyNumberFormat="1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44" fontId="0" fillId="0" borderId="50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36" borderId="28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5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44" fontId="20" fillId="0" borderId="0" xfId="0" applyNumberFormat="1" applyFont="1" applyFill="1" applyAlignment="1">
      <alignment/>
    </xf>
    <xf numFmtId="4" fontId="2" fillId="0" borderId="29" xfId="0" applyNumberFormat="1" applyFont="1" applyFill="1" applyBorder="1" applyAlignment="1">
      <alignment vertical="center"/>
    </xf>
    <xf numFmtId="4" fontId="15" fillId="0" borderId="29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Fill="1" applyAlignment="1">
      <alignment/>
    </xf>
    <xf numFmtId="166" fontId="2" fillId="3" borderId="16" xfId="0" applyNumberFormat="1" applyFont="1" applyFill="1" applyBorder="1" applyAlignment="1">
      <alignment horizontal="center" vertical="top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166" fontId="9" fillId="3" borderId="15" xfId="0" applyNumberFormat="1" applyFont="1" applyFill="1" applyBorder="1" applyAlignment="1">
      <alignment horizontal="center" vertical="top" wrapText="1"/>
    </xf>
    <xf numFmtId="166" fontId="2" fillId="3" borderId="17" xfId="0" applyNumberFormat="1" applyFont="1" applyFill="1" applyBorder="1" applyAlignment="1">
      <alignment vertical="center"/>
    </xf>
    <xf numFmtId="166" fontId="15" fillId="3" borderId="17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horizontal="right" wrapText="1"/>
    </xf>
    <xf numFmtId="166" fontId="5" fillId="3" borderId="17" xfId="0" applyNumberFormat="1" applyFont="1" applyFill="1" applyBorder="1" applyAlignment="1">
      <alignment horizontal="right" vertical="top" wrapText="1"/>
    </xf>
    <xf numFmtId="166" fontId="5" fillId="3" borderId="17" xfId="0" applyNumberFormat="1" applyFont="1" applyFill="1" applyBorder="1" applyAlignment="1">
      <alignment vertical="center"/>
    </xf>
    <xf numFmtId="166" fontId="9" fillId="3" borderId="17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right"/>
    </xf>
    <xf numFmtId="166" fontId="5" fillId="3" borderId="16" xfId="0" applyNumberFormat="1" applyFont="1" applyFill="1" applyBorder="1" applyAlignment="1">
      <alignment horizontal="right" vertical="top" wrapText="1"/>
    </xf>
    <xf numFmtId="166" fontId="5" fillId="3" borderId="17" xfId="0" applyNumberFormat="1" applyFont="1" applyFill="1" applyBorder="1" applyAlignment="1">
      <alignment/>
    </xf>
    <xf numFmtId="14" fontId="0" fillId="0" borderId="40" xfId="0" applyNumberForma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horizontal="center" wrapText="1"/>
    </xf>
    <xf numFmtId="14" fontId="0" fillId="0" borderId="37" xfId="0" applyNumberFormat="1" applyFill="1" applyBorder="1" applyAlignment="1">
      <alignment/>
    </xf>
    <xf numFmtId="4" fontId="5" fillId="35" borderId="34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top" wrapText="1"/>
    </xf>
    <xf numFmtId="166" fontId="2" fillId="0" borderId="16" xfId="0" applyNumberFormat="1" applyFont="1" applyFill="1" applyBorder="1" applyAlignment="1">
      <alignment vertical="center"/>
    </xf>
    <xf numFmtId="4" fontId="5" fillId="0" borderId="43" xfId="0" applyNumberFormat="1" applyFont="1" applyFill="1" applyBorder="1" applyAlignment="1">
      <alignment/>
    </xf>
    <xf numFmtId="166" fontId="5" fillId="0" borderId="17" xfId="0" applyNumberFormat="1" applyFont="1" applyFill="1" applyBorder="1" applyAlignment="1" quotePrefix="1">
      <alignment horizontal="right" wrapText="1"/>
    </xf>
    <xf numFmtId="166" fontId="5" fillId="0" borderId="18" xfId="0" applyNumberFormat="1" applyFont="1" applyFill="1" applyBorder="1" applyAlignment="1">
      <alignment horizontal="right" vertical="top" wrapText="1"/>
    </xf>
    <xf numFmtId="166" fontId="4" fillId="0" borderId="16" xfId="0" applyNumberFormat="1" applyFont="1" applyFill="1" applyBorder="1" applyAlignment="1">
      <alignment/>
    </xf>
    <xf numFmtId="166" fontId="5" fillId="0" borderId="26" xfId="0" applyNumberFormat="1" applyFont="1" applyFill="1" applyBorder="1" applyAlignment="1">
      <alignment horizontal="right" vertical="top" wrapText="1"/>
    </xf>
    <xf numFmtId="166" fontId="5" fillId="36" borderId="26" xfId="0" applyNumberFormat="1" applyFont="1" applyFill="1" applyBorder="1" applyAlignment="1">
      <alignment horizontal="right" vertical="top" wrapText="1"/>
    </xf>
    <xf numFmtId="0" fontId="5" fillId="0" borderId="4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44" fontId="20" fillId="35" borderId="53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vertical="top"/>
    </xf>
    <xf numFmtId="4" fontId="12" fillId="0" borderId="26" xfId="0" applyNumberFormat="1" applyFont="1" applyFill="1" applyBorder="1" applyAlignment="1">
      <alignment vertical="center"/>
    </xf>
    <xf numFmtId="4" fontId="5" fillId="0" borderId="56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166" fontId="5" fillId="36" borderId="43" xfId="0" applyNumberFormat="1" applyFont="1" applyFill="1" applyBorder="1" applyAlignment="1">
      <alignment horizontal="right" vertical="top" wrapText="1"/>
    </xf>
    <xf numFmtId="44" fontId="0" fillId="0" borderId="0" xfId="62" applyFont="1" applyBorder="1" applyAlignment="1">
      <alignment/>
    </xf>
    <xf numFmtId="0" fontId="23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46" xfId="0" applyNumberFormat="1" applyBorder="1" applyAlignment="1">
      <alignment/>
    </xf>
    <xf numFmtId="44" fontId="20" fillId="0" borderId="0" xfId="62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7" xfId="0" applyFont="1" applyBorder="1" applyAlignment="1">
      <alignment/>
    </xf>
    <xf numFmtId="0" fontId="46" fillId="0" borderId="37" xfId="0" applyFont="1" applyFill="1" applyBorder="1" applyAlignment="1">
      <alignment horizontal="left"/>
    </xf>
    <xf numFmtId="0" fontId="46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 wrapText="1"/>
    </xf>
    <xf numFmtId="4" fontId="0" fillId="0" borderId="0" xfId="0" applyNumberFormat="1" applyAlignment="1">
      <alignment/>
    </xf>
    <xf numFmtId="0" fontId="46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/>
    </xf>
    <xf numFmtId="0" fontId="20" fillId="35" borderId="51" xfId="0" applyFont="1" applyFill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20" fillId="0" borderId="65" xfId="0" applyFont="1" applyFill="1" applyBorder="1" applyAlignment="1">
      <alignment/>
    </xf>
    <xf numFmtId="8" fontId="20" fillId="0" borderId="65" xfId="0" applyNumberFormat="1" applyFont="1" applyFill="1" applyBorder="1" applyAlignment="1">
      <alignment/>
    </xf>
    <xf numFmtId="44" fontId="20" fillId="0" borderId="65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0" fontId="0" fillId="0" borderId="40" xfId="0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66" xfId="0" applyFont="1" applyFill="1" applyBorder="1" applyAlignment="1">
      <alignment/>
    </xf>
    <xf numFmtId="44" fontId="0" fillId="0" borderId="28" xfId="0" applyNumberFormat="1" applyFill="1" applyBorder="1" applyAlignment="1">
      <alignment/>
    </xf>
    <xf numFmtId="14" fontId="0" fillId="0" borderId="45" xfId="0" applyNumberFormat="1" applyBorder="1" applyAlignment="1">
      <alignment/>
    </xf>
    <xf numFmtId="44" fontId="0" fillId="0" borderId="45" xfId="0" applyNumberFormat="1" applyFill="1" applyBorder="1" applyAlignment="1">
      <alignment/>
    </xf>
    <xf numFmtId="0" fontId="20" fillId="0" borderId="48" xfId="0" applyFont="1" applyFill="1" applyBorder="1" applyAlignment="1">
      <alignment/>
    </xf>
    <xf numFmtId="8" fontId="20" fillId="0" borderId="48" xfId="0" applyNumberFormat="1" applyFont="1" applyFill="1" applyBorder="1" applyAlignment="1">
      <alignment/>
    </xf>
    <xf numFmtId="44" fontId="20" fillId="0" borderId="48" xfId="0" applyNumberFormat="1" applyFont="1" applyFill="1" applyBorder="1" applyAlignment="1">
      <alignment/>
    </xf>
    <xf numFmtId="44" fontId="20" fillId="0" borderId="37" xfId="0" applyNumberFormat="1" applyFont="1" applyBorder="1" applyAlignment="1">
      <alignment/>
    </xf>
    <xf numFmtId="0" fontId="20" fillId="0" borderId="65" xfId="0" applyFont="1" applyBorder="1" applyAlignment="1">
      <alignment/>
    </xf>
    <xf numFmtId="49" fontId="0" fillId="36" borderId="47" xfId="0" applyNumberFormat="1" applyFont="1" applyFill="1" applyBorder="1" applyAlignment="1">
      <alignment wrapText="1"/>
    </xf>
    <xf numFmtId="8" fontId="0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wrapText="1"/>
    </xf>
    <xf numFmtId="0" fontId="2" fillId="0" borderId="37" xfId="0" applyFont="1" applyFill="1" applyBorder="1" applyAlignment="1">
      <alignment horizontal="left"/>
    </xf>
    <xf numFmtId="14" fontId="0" fillId="0" borderId="37" xfId="0" applyNumberFormat="1" applyFont="1" applyFill="1" applyBorder="1" applyAlignment="1">
      <alignment horizontal="center"/>
    </xf>
    <xf numFmtId="0" fontId="0" fillId="0" borderId="37" xfId="67" applyFont="1" applyFill="1" applyBorder="1" applyAlignment="1">
      <alignment horizontal="left"/>
    </xf>
    <xf numFmtId="0" fontId="21" fillId="0" borderId="0" xfId="0" applyFont="1" applyFill="1" applyAlignment="1">
      <alignment wrapText="1"/>
    </xf>
    <xf numFmtId="44" fontId="0" fillId="0" borderId="37" xfId="0" applyNumberFormat="1" applyFont="1" applyBorder="1" applyAlignment="1">
      <alignment/>
    </xf>
    <xf numFmtId="40" fontId="0" fillId="0" borderId="0" xfId="48" applyNumberFormat="1" applyFill="1">
      <alignment/>
      <protection/>
    </xf>
    <xf numFmtId="0" fontId="0" fillId="0" borderId="37" xfId="48" applyFont="1" applyBorder="1">
      <alignment/>
      <protection/>
    </xf>
    <xf numFmtId="44" fontId="20" fillId="0" borderId="0" xfId="62" applyFont="1" applyAlignment="1">
      <alignment/>
    </xf>
    <xf numFmtId="0" fontId="20" fillId="0" borderId="0" xfId="0" applyFont="1" applyBorder="1" applyAlignment="1">
      <alignment wrapText="1"/>
    </xf>
    <xf numFmtId="44" fontId="20" fillId="0" borderId="46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61" xfId="0" applyFont="1" applyBorder="1" applyAlignment="1">
      <alignment/>
    </xf>
    <xf numFmtId="44" fontId="20" fillId="0" borderId="62" xfId="0" applyNumberFormat="1" applyFont="1" applyBorder="1" applyAlignment="1">
      <alignment/>
    </xf>
    <xf numFmtId="44" fontId="0" fillId="0" borderId="37" xfId="62" applyFont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40" xfId="67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1" xfId="67" applyFont="1" applyFill="1" applyBorder="1" applyAlignment="1">
      <alignment horizontal="left"/>
    </xf>
    <xf numFmtId="0" fontId="0" fillId="0" borderId="41" xfId="67" applyFont="1" applyFill="1" applyBorder="1" applyAlignment="1">
      <alignment horizontal="left"/>
    </xf>
    <xf numFmtId="44" fontId="0" fillId="0" borderId="37" xfId="0" applyNumberFormat="1" applyFont="1" applyFill="1" applyBorder="1" applyAlignment="1">
      <alignment/>
    </xf>
    <xf numFmtId="0" fontId="0" fillId="37" borderId="37" xfId="0" applyFill="1" applyBorder="1" applyAlignment="1">
      <alignment/>
    </xf>
    <xf numFmtId="44" fontId="0" fillId="0" borderId="37" xfId="0" applyNumberFormat="1" applyBorder="1" applyAlignment="1">
      <alignment/>
    </xf>
    <xf numFmtId="44" fontId="0" fillId="0" borderId="37" xfId="62" applyFont="1" applyFill="1" applyBorder="1" applyAlignment="1">
      <alignment/>
    </xf>
    <xf numFmtId="0" fontId="0" fillId="0" borderId="37" xfId="48" applyFont="1" applyFill="1" applyBorder="1">
      <alignment/>
      <protection/>
    </xf>
    <xf numFmtId="183" fontId="0" fillId="0" borderId="53" xfId="0" applyNumberFormat="1" applyFont="1" applyFill="1" applyBorder="1" applyAlignment="1">
      <alignment/>
    </xf>
    <xf numFmtId="183" fontId="0" fillId="0" borderId="50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left"/>
    </xf>
    <xf numFmtId="183" fontId="0" fillId="0" borderId="40" xfId="0" applyNumberFormat="1" applyFont="1" applyFill="1" applyBorder="1" applyAlignment="1">
      <alignment/>
    </xf>
    <xf numFmtId="183" fontId="0" fillId="0" borderId="37" xfId="0" applyNumberFormat="1" applyFont="1" applyFill="1" applyBorder="1" applyAlignment="1">
      <alignment/>
    </xf>
    <xf numFmtId="183" fontId="0" fillId="0" borderId="37" xfId="0" applyNumberFormat="1" applyFont="1" applyFill="1" applyBorder="1" applyAlignment="1">
      <alignment/>
    </xf>
    <xf numFmtId="40" fontId="0" fillId="0" borderId="37" xfId="48" applyNumberFormat="1" applyFill="1" applyBorder="1">
      <alignment/>
      <protection/>
    </xf>
    <xf numFmtId="0" fontId="0" fillId="36" borderId="29" xfId="0" applyFont="1" applyFill="1" applyBorder="1" applyAlignment="1">
      <alignment/>
    </xf>
    <xf numFmtId="44" fontId="0" fillId="37" borderId="0" xfId="0" applyNumberFormat="1" applyFill="1" applyAlignment="1">
      <alignment/>
    </xf>
    <xf numFmtId="183" fontId="0" fillId="36" borderId="37" xfId="0" applyNumberFormat="1" applyFont="1" applyFill="1" applyBorder="1" applyAlignment="1">
      <alignment/>
    </xf>
    <xf numFmtId="14" fontId="0" fillId="0" borderId="67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/>
    </xf>
    <xf numFmtId="0" fontId="0" fillId="35" borderId="67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68" xfId="0" applyFont="1" applyFill="1" applyBorder="1" applyAlignment="1">
      <alignment wrapText="1"/>
    </xf>
    <xf numFmtId="0" fontId="0" fillId="0" borderId="69" xfId="0" applyFont="1" applyFill="1" applyBorder="1" applyAlignment="1">
      <alignment/>
    </xf>
    <xf numFmtId="0" fontId="0" fillId="34" borderId="70" xfId="0" applyFont="1" applyFill="1" applyBorder="1" applyAlignment="1">
      <alignment wrapText="1"/>
    </xf>
    <xf numFmtId="0" fontId="21" fillId="34" borderId="71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44" fontId="0" fillId="0" borderId="49" xfId="0" applyNumberFormat="1" applyBorder="1" applyAlignment="1">
      <alignment/>
    </xf>
    <xf numFmtId="44" fontId="0" fillId="0" borderId="49" xfId="0" applyNumberForma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44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7" xfId="0" applyFont="1" applyFill="1" applyBorder="1" applyAlignment="1">
      <alignment horizontal="left" vertical="center"/>
    </xf>
    <xf numFmtId="44" fontId="0" fillId="0" borderId="37" xfId="62" applyFont="1" applyFill="1" applyBorder="1" applyAlignment="1">
      <alignment/>
    </xf>
    <xf numFmtId="44" fontId="0" fillId="0" borderId="28" xfId="62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 wrapText="1"/>
    </xf>
    <xf numFmtId="44" fontId="0" fillId="0" borderId="24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72" xfId="0" applyNumberFormat="1" applyFont="1" applyBorder="1" applyAlignment="1">
      <alignment/>
    </xf>
    <xf numFmtId="0" fontId="0" fillId="0" borderId="28" xfId="67" applyFont="1" applyFill="1" applyBorder="1" applyAlignment="1">
      <alignment horizontal="left"/>
    </xf>
    <xf numFmtId="0" fontId="0" fillId="0" borderId="0" xfId="67" applyFont="1" applyFill="1" applyBorder="1" applyAlignment="1">
      <alignment horizontal="left"/>
    </xf>
    <xf numFmtId="0" fontId="17" fillId="0" borderId="6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top"/>
    </xf>
    <xf numFmtId="4" fontId="2" fillId="0" borderId="32" xfId="0" applyNumberFormat="1" applyFont="1" applyFill="1" applyBorder="1" applyAlignment="1">
      <alignment horizontal="center" vertical="top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5" fillId="36" borderId="56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 vertical="top"/>
    </xf>
    <xf numFmtId="4" fontId="5" fillId="0" borderId="30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73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 horizontal="right" vertical="top"/>
    </xf>
    <xf numFmtId="4" fontId="4" fillId="0" borderId="56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73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/>
    </xf>
    <xf numFmtId="4" fontId="5" fillId="0" borderId="44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4" fontId="4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5" fillId="0" borderId="46" xfId="0" applyNumberFormat="1" applyFont="1" applyFill="1" applyBorder="1" applyAlignment="1">
      <alignment vertical="top"/>
    </xf>
    <xf numFmtId="4" fontId="12" fillId="0" borderId="46" xfId="0" applyNumberFormat="1" applyFont="1" applyFill="1" applyBorder="1" applyAlignment="1">
      <alignment vertical="center"/>
    </xf>
    <xf numFmtId="4" fontId="5" fillId="0" borderId="74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4" fillId="0" borderId="74" xfId="0" applyNumberFormat="1" applyFont="1" applyFill="1" applyBorder="1" applyAlignment="1">
      <alignment/>
    </xf>
    <xf numFmtId="4" fontId="4" fillId="0" borderId="75" xfId="0" applyNumberFormat="1" applyFont="1" applyFill="1" applyBorder="1" applyAlignment="1">
      <alignment/>
    </xf>
    <xf numFmtId="4" fontId="5" fillId="0" borderId="74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top"/>
    </xf>
    <xf numFmtId="4" fontId="12" fillId="0" borderId="25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1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4" fillId="0" borderId="76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77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7" fillId="0" borderId="61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4" fontId="5" fillId="8" borderId="26" xfId="0" applyNumberFormat="1" applyFont="1" applyFill="1" applyBorder="1" applyAlignment="1">
      <alignment vertical="top"/>
    </xf>
    <xf numFmtId="4" fontId="5" fillId="8" borderId="17" xfId="0" applyNumberFormat="1" applyFont="1" applyFill="1" applyBorder="1" applyAlignment="1">
      <alignment vertical="top"/>
    </xf>
    <xf numFmtId="4" fontId="5" fillId="8" borderId="46" xfId="0" applyNumberFormat="1" applyFont="1" applyFill="1" applyBorder="1" applyAlignment="1">
      <alignment vertical="top"/>
    </xf>
    <xf numFmtId="4" fontId="12" fillId="8" borderId="26" xfId="0" applyNumberFormat="1" applyFont="1" applyFill="1" applyBorder="1" applyAlignment="1">
      <alignment vertical="center"/>
    </xf>
    <xf numFmtId="4" fontId="12" fillId="8" borderId="17" xfId="0" applyNumberFormat="1" applyFont="1" applyFill="1" applyBorder="1" applyAlignment="1">
      <alignment vertical="center"/>
    </xf>
    <xf numFmtId="4" fontId="12" fillId="8" borderId="46" xfId="0" applyNumberFormat="1" applyFont="1" applyFill="1" applyBorder="1" applyAlignment="1">
      <alignment vertical="center"/>
    </xf>
    <xf numFmtId="4" fontId="5" fillId="8" borderId="56" xfId="0" applyNumberFormat="1" applyFont="1" applyFill="1" applyBorder="1" applyAlignment="1">
      <alignment/>
    </xf>
    <xf numFmtId="4" fontId="5" fillId="8" borderId="15" xfId="0" applyNumberFormat="1" applyFont="1" applyFill="1" applyBorder="1" applyAlignment="1">
      <alignment/>
    </xf>
    <xf numFmtId="4" fontId="5" fillId="8" borderId="74" xfId="0" applyNumberFormat="1" applyFont="1" applyFill="1" applyBorder="1" applyAlignment="1">
      <alignment/>
    </xf>
    <xf numFmtId="4" fontId="2" fillId="8" borderId="26" xfId="0" applyNumberFormat="1" applyFont="1" applyFill="1" applyBorder="1" applyAlignment="1">
      <alignment/>
    </xf>
    <xf numFmtId="4" fontId="2" fillId="8" borderId="17" xfId="0" applyNumberFormat="1" applyFont="1" applyFill="1" applyBorder="1" applyAlignment="1">
      <alignment/>
    </xf>
    <xf numFmtId="4" fontId="2" fillId="8" borderId="46" xfId="0" applyNumberFormat="1" applyFont="1" applyFill="1" applyBorder="1" applyAlignment="1">
      <alignment/>
    </xf>
    <xf numFmtId="4" fontId="15" fillId="8" borderId="26" xfId="0" applyNumberFormat="1" applyFont="1" applyFill="1" applyBorder="1" applyAlignment="1">
      <alignment/>
    </xf>
    <xf numFmtId="4" fontId="15" fillId="8" borderId="17" xfId="0" applyNumberFormat="1" applyFont="1" applyFill="1" applyBorder="1" applyAlignment="1">
      <alignment/>
    </xf>
    <xf numFmtId="4" fontId="15" fillId="8" borderId="46" xfId="0" applyNumberFormat="1" applyFont="1" applyFill="1" applyBorder="1" applyAlignment="1">
      <alignment/>
    </xf>
    <xf numFmtId="4" fontId="5" fillId="8" borderId="26" xfId="0" applyNumberFormat="1" applyFont="1" applyFill="1" applyBorder="1" applyAlignment="1">
      <alignment/>
    </xf>
    <xf numFmtId="4" fontId="5" fillId="8" borderId="17" xfId="0" applyNumberFormat="1" applyFont="1" applyFill="1" applyBorder="1" applyAlignment="1">
      <alignment/>
    </xf>
    <xf numFmtId="4" fontId="5" fillId="8" borderId="46" xfId="0" applyNumberFormat="1" applyFont="1" applyFill="1" applyBorder="1" applyAlignment="1">
      <alignment/>
    </xf>
    <xf numFmtId="4" fontId="4" fillId="8" borderId="56" xfId="0" applyNumberFormat="1" applyFont="1" applyFill="1" applyBorder="1" applyAlignment="1">
      <alignment/>
    </xf>
    <xf numFmtId="4" fontId="5" fillId="8" borderId="57" xfId="0" applyNumberFormat="1" applyFont="1" applyFill="1" applyBorder="1" applyAlignment="1">
      <alignment/>
    </xf>
    <xf numFmtId="4" fontId="4" fillId="8" borderId="57" xfId="0" applyNumberFormat="1" applyFont="1" applyFill="1" applyBorder="1" applyAlignment="1">
      <alignment/>
    </xf>
    <xf numFmtId="4" fontId="5" fillId="8" borderId="56" xfId="0" applyNumberFormat="1" applyFont="1" applyFill="1" applyBorder="1" applyAlignment="1">
      <alignment vertical="center"/>
    </xf>
    <xf numFmtId="4" fontId="5" fillId="8" borderId="15" xfId="0" applyNumberFormat="1" applyFont="1" applyFill="1" applyBorder="1" applyAlignment="1">
      <alignment vertical="center"/>
    </xf>
    <xf numFmtId="4" fontId="5" fillId="8" borderId="74" xfId="0" applyNumberFormat="1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4" fontId="5" fillId="8" borderId="46" xfId="0" applyNumberFormat="1" applyFont="1" applyFill="1" applyBorder="1" applyAlignment="1">
      <alignment vertical="center"/>
    </xf>
    <xf numFmtId="4" fontId="11" fillId="16" borderId="78" xfId="0" applyNumberFormat="1" applyFont="1" applyFill="1" applyBorder="1" applyAlignment="1">
      <alignment/>
    </xf>
    <xf numFmtId="0" fontId="11" fillId="16" borderId="79" xfId="0" applyFont="1" applyFill="1" applyBorder="1" applyAlignment="1">
      <alignment horizontal="right" vertical="center"/>
    </xf>
    <xf numFmtId="0" fontId="5" fillId="16" borderId="27" xfId="0" applyFont="1" applyFill="1" applyBorder="1" applyAlignment="1">
      <alignment horizontal="center" vertical="center"/>
    </xf>
    <xf numFmtId="4" fontId="5" fillId="16" borderId="80" xfId="0" applyNumberFormat="1" applyFont="1" applyFill="1" applyBorder="1" applyAlignment="1">
      <alignment horizontal="center" vertical="center"/>
    </xf>
    <xf numFmtId="4" fontId="5" fillId="16" borderId="35" xfId="0" applyNumberFormat="1" applyFont="1" applyFill="1" applyBorder="1" applyAlignment="1">
      <alignment horizontal="center" vertical="center"/>
    </xf>
    <xf numFmtId="4" fontId="5" fillId="16" borderId="34" xfId="0" applyNumberFormat="1" applyFont="1" applyFill="1" applyBorder="1" applyAlignment="1">
      <alignment horizontal="center" vertical="center" wrapText="1"/>
    </xf>
    <xf numFmtId="4" fontId="5" fillId="16" borderId="34" xfId="0" applyNumberFormat="1" applyFont="1" applyFill="1" applyBorder="1" applyAlignment="1">
      <alignment horizontal="center" vertical="center"/>
    </xf>
    <xf numFmtId="4" fontId="5" fillId="16" borderId="19" xfId="0" applyNumberFormat="1" applyFont="1" applyFill="1" applyBorder="1" applyAlignment="1">
      <alignment horizontal="center" vertical="center" wrapText="1"/>
    </xf>
    <xf numFmtId="165" fontId="5" fillId="16" borderId="80" xfId="0" applyNumberFormat="1" applyFont="1" applyFill="1" applyBorder="1" applyAlignment="1">
      <alignment horizontal="center" vertical="center"/>
    </xf>
    <xf numFmtId="4" fontId="5" fillId="16" borderId="80" xfId="0" applyNumberFormat="1" applyFont="1" applyFill="1" applyBorder="1" applyAlignment="1">
      <alignment horizontal="center" vertical="center" wrapText="1"/>
    </xf>
    <xf numFmtId="4" fontId="5" fillId="16" borderId="81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center" vertical="top" wrapText="1"/>
    </xf>
    <xf numFmtId="164" fontId="7" fillId="35" borderId="81" xfId="0" applyNumberFormat="1" applyFont="1" applyFill="1" applyBorder="1" applyAlignment="1">
      <alignment horizontal="center" vertical="center" wrapText="1"/>
    </xf>
    <xf numFmtId="166" fontId="2" fillId="0" borderId="75" xfId="0" applyNumberFormat="1" applyFont="1" applyFill="1" applyBorder="1" applyAlignment="1">
      <alignment horizontal="center" vertical="top" wrapText="1"/>
    </xf>
    <xf numFmtId="166" fontId="11" fillId="0" borderId="46" xfId="0" applyNumberFormat="1" applyFont="1" applyFill="1" applyBorder="1" applyAlignment="1">
      <alignment horizontal="center" vertical="center" wrapText="1"/>
    </xf>
    <xf numFmtId="166" fontId="9" fillId="0" borderId="74" xfId="0" applyNumberFormat="1" applyFont="1" applyFill="1" applyBorder="1" applyAlignment="1">
      <alignment horizontal="center" vertical="top" wrapText="1"/>
    </xf>
    <xf numFmtId="166" fontId="2" fillId="0" borderId="46" xfId="0" applyNumberFormat="1" applyFont="1" applyFill="1" applyBorder="1" applyAlignment="1">
      <alignment vertical="center"/>
    </xf>
    <xf numFmtId="166" fontId="5" fillId="0" borderId="42" xfId="0" applyNumberFormat="1" applyFont="1" applyFill="1" applyBorder="1" applyAlignment="1">
      <alignment vertical="center"/>
    </xf>
    <xf numFmtId="166" fontId="5" fillId="0" borderId="46" xfId="0" applyNumberFormat="1" applyFont="1" applyFill="1" applyBorder="1" applyAlignment="1">
      <alignment horizontal="right" wrapText="1"/>
    </xf>
    <xf numFmtId="166" fontId="5" fillId="0" borderId="46" xfId="0" applyNumberFormat="1" applyFont="1" applyFill="1" applyBorder="1" applyAlignment="1">
      <alignment vertical="center"/>
    </xf>
    <xf numFmtId="166" fontId="5" fillId="0" borderId="46" xfId="0" applyNumberFormat="1" applyFont="1" applyFill="1" applyBorder="1" applyAlignment="1">
      <alignment horizontal="right" vertical="top" wrapText="1"/>
    </xf>
    <xf numFmtId="166" fontId="4" fillId="0" borderId="46" xfId="0" applyNumberFormat="1" applyFont="1" applyFill="1" applyBorder="1" applyAlignment="1">
      <alignment horizontal="right"/>
    </xf>
    <xf numFmtId="166" fontId="5" fillId="0" borderId="75" xfId="0" applyNumberFormat="1" applyFont="1" applyFill="1" applyBorder="1" applyAlignment="1">
      <alignment horizontal="right" vertical="top" wrapText="1"/>
    </xf>
    <xf numFmtId="166" fontId="5" fillId="0" borderId="46" xfId="0" applyNumberFormat="1" applyFont="1" applyFill="1" applyBorder="1" applyAlignment="1">
      <alignment/>
    </xf>
    <xf numFmtId="166" fontId="2" fillId="3" borderId="75" xfId="0" applyNumberFormat="1" applyFont="1" applyFill="1" applyBorder="1" applyAlignment="1">
      <alignment horizontal="center" vertical="top" wrapText="1"/>
    </xf>
    <xf numFmtId="166" fontId="11" fillId="3" borderId="46" xfId="0" applyNumberFormat="1" applyFont="1" applyFill="1" applyBorder="1" applyAlignment="1">
      <alignment horizontal="center" vertical="center" wrapText="1"/>
    </xf>
    <xf numFmtId="166" fontId="9" fillId="3" borderId="74" xfId="0" applyNumberFormat="1" applyFont="1" applyFill="1" applyBorder="1" applyAlignment="1">
      <alignment horizontal="center" vertical="top" wrapText="1"/>
    </xf>
    <xf numFmtId="166" fontId="2" fillId="3" borderId="46" xfId="0" applyNumberFormat="1" applyFont="1" applyFill="1" applyBorder="1" applyAlignment="1">
      <alignment vertical="center"/>
    </xf>
    <xf numFmtId="166" fontId="15" fillId="3" borderId="46" xfId="0" applyNumberFormat="1" applyFont="1" applyFill="1" applyBorder="1" applyAlignment="1">
      <alignment vertical="center"/>
    </xf>
    <xf numFmtId="166" fontId="5" fillId="3" borderId="46" xfId="0" applyNumberFormat="1" applyFont="1" applyFill="1" applyBorder="1" applyAlignment="1">
      <alignment horizontal="right" wrapText="1"/>
    </xf>
    <xf numFmtId="4" fontId="7" fillId="3" borderId="35" xfId="0" applyNumberFormat="1" applyFont="1" applyFill="1" applyBorder="1" applyAlignment="1">
      <alignment horizontal="center" vertical="center" wrapText="1"/>
    </xf>
    <xf numFmtId="4" fontId="7" fillId="3" borderId="36" xfId="0" applyNumberFormat="1" applyFont="1" applyFill="1" applyBorder="1" applyAlignment="1">
      <alignment horizontal="center" vertical="center" wrapText="1"/>
    </xf>
    <xf numFmtId="166" fontId="4" fillId="3" borderId="31" xfId="0" applyNumberFormat="1" applyFont="1" applyFill="1" applyBorder="1" applyAlignment="1">
      <alignment/>
    </xf>
    <xf numFmtId="166" fontId="4" fillId="3" borderId="38" xfId="0" applyNumberFormat="1" applyFont="1" applyFill="1" applyBorder="1" applyAlignment="1">
      <alignment/>
    </xf>
    <xf numFmtId="166" fontId="4" fillId="3" borderId="32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166" fontId="26" fillId="0" borderId="31" xfId="0" applyNumberFormat="1" applyFont="1" applyFill="1" applyBorder="1" applyAlignment="1">
      <alignment/>
    </xf>
    <xf numFmtId="166" fontId="26" fillId="3" borderId="3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Alignment="1" quotePrefix="1">
      <alignment/>
    </xf>
    <xf numFmtId="44" fontId="20" fillId="0" borderId="24" xfId="0" applyNumberFormat="1" applyFont="1" applyBorder="1" applyAlignment="1">
      <alignment/>
    </xf>
    <xf numFmtId="44" fontId="20" fillId="0" borderId="12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4" fontId="0" fillId="0" borderId="0" xfId="0" applyNumberFormat="1" applyFill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38" borderId="37" xfId="0" applyNumberFormat="1" applyFont="1" applyFill="1" applyBorder="1" applyAlignment="1">
      <alignment/>
    </xf>
    <xf numFmtId="0" fontId="0" fillId="38" borderId="37" xfId="0" applyFont="1" applyFill="1" applyBorder="1" applyAlignment="1">
      <alignment wrapText="1"/>
    </xf>
    <xf numFmtId="0" fontId="0" fillId="38" borderId="37" xfId="0" applyFont="1" applyFill="1" applyBorder="1" applyAlignment="1">
      <alignment/>
    </xf>
    <xf numFmtId="44" fontId="0" fillId="38" borderId="37" xfId="0" applyNumberFormat="1" applyFont="1" applyFill="1" applyBorder="1" applyAlignment="1">
      <alignment/>
    </xf>
    <xf numFmtId="0" fontId="46" fillId="38" borderId="37" xfId="0" applyFont="1" applyFill="1" applyBorder="1" applyAlignment="1">
      <alignment horizontal="left"/>
    </xf>
    <xf numFmtId="0" fontId="46" fillId="38" borderId="37" xfId="0" applyFont="1" applyFill="1" applyBorder="1" applyAlignment="1">
      <alignment vertical="center"/>
    </xf>
    <xf numFmtId="0" fontId="0" fillId="38" borderId="41" xfId="0" applyFont="1" applyFill="1" applyBorder="1" applyAlignment="1">
      <alignment wrapText="1"/>
    </xf>
    <xf numFmtId="0" fontId="0" fillId="38" borderId="52" xfId="0" applyFont="1" applyFill="1" applyBorder="1" applyAlignment="1">
      <alignment wrapText="1"/>
    </xf>
    <xf numFmtId="0" fontId="0" fillId="38" borderId="49" xfId="0" applyFill="1" applyBorder="1" applyAlignment="1">
      <alignment/>
    </xf>
    <xf numFmtId="0" fontId="0" fillId="0" borderId="44" xfId="0" applyFont="1" applyFill="1" applyBorder="1" applyAlignment="1">
      <alignment wrapText="1"/>
    </xf>
    <xf numFmtId="0" fontId="0" fillId="38" borderId="44" xfId="0" applyFont="1" applyFill="1" applyBorder="1" applyAlignment="1">
      <alignment wrapText="1"/>
    </xf>
    <xf numFmtId="0" fontId="0" fillId="38" borderId="44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4" fontId="0" fillId="0" borderId="8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83" xfId="67" applyFont="1" applyFill="1" applyBorder="1" applyAlignment="1">
      <alignment horizontal="left"/>
    </xf>
    <xf numFmtId="0" fontId="0" fillId="38" borderId="37" xfId="0" applyFont="1" applyFill="1" applyBorder="1" applyAlignment="1">
      <alignment/>
    </xf>
    <xf numFmtId="14" fontId="0" fillId="38" borderId="82" xfId="0" applyNumberFormat="1" applyFont="1" applyFill="1" applyBorder="1" applyAlignment="1">
      <alignment horizontal="center"/>
    </xf>
    <xf numFmtId="0" fontId="0" fillId="38" borderId="28" xfId="0" applyFont="1" applyFill="1" applyBorder="1" applyAlignment="1">
      <alignment wrapText="1"/>
    </xf>
    <xf numFmtId="0" fontId="0" fillId="38" borderId="28" xfId="67" applyFont="1" applyFill="1" applyBorder="1" applyAlignment="1">
      <alignment horizontal="left"/>
    </xf>
    <xf numFmtId="44" fontId="0" fillId="38" borderId="28" xfId="0" applyNumberFormat="1" applyFont="1" applyFill="1" applyBorder="1" applyAlignment="1">
      <alignment/>
    </xf>
    <xf numFmtId="0" fontId="0" fillId="38" borderId="28" xfId="0" applyFont="1" applyFill="1" applyBorder="1" applyAlignment="1">
      <alignment horizontal="left"/>
    </xf>
    <xf numFmtId="0" fontId="0" fillId="38" borderId="83" xfId="67" applyFont="1" applyFill="1" applyBorder="1" applyAlignment="1">
      <alignment horizontal="left"/>
    </xf>
    <xf numFmtId="0" fontId="0" fillId="38" borderId="28" xfId="0" applyFont="1" applyFill="1" applyBorder="1" applyAlignment="1">
      <alignment/>
    </xf>
    <xf numFmtId="44" fontId="0" fillId="38" borderId="53" xfId="0" applyNumberFormat="1" applyFont="1" applyFill="1" applyBorder="1" applyAlignment="1">
      <alignment/>
    </xf>
    <xf numFmtId="44" fontId="0" fillId="38" borderId="50" xfId="0" applyNumberFormat="1" applyFont="1" applyFill="1" applyBorder="1" applyAlignment="1">
      <alignment/>
    </xf>
    <xf numFmtId="0" fontId="21" fillId="38" borderId="49" xfId="0" applyFont="1" applyFill="1" applyBorder="1" applyAlignment="1">
      <alignment wrapText="1"/>
    </xf>
    <xf numFmtId="0" fontId="0" fillId="38" borderId="29" xfId="67" applyFont="1" applyFill="1" applyBorder="1" applyAlignment="1">
      <alignment horizontal="left"/>
    </xf>
    <xf numFmtId="14" fontId="0" fillId="38" borderId="12" xfId="0" applyNumberFormat="1" applyFont="1" applyFill="1" applyBorder="1" applyAlignment="1">
      <alignment horizontal="center"/>
    </xf>
    <xf numFmtId="0" fontId="0" fillId="38" borderId="37" xfId="0" applyFont="1" applyFill="1" applyBorder="1" applyAlignment="1">
      <alignment wrapText="1"/>
    </xf>
    <xf numFmtId="0" fontId="0" fillId="38" borderId="37" xfId="67" applyFont="1" applyFill="1" applyBorder="1" applyAlignment="1">
      <alignment horizontal="left"/>
    </xf>
    <xf numFmtId="44" fontId="0" fillId="38" borderId="37" xfId="0" applyNumberFormat="1" applyFont="1" applyFill="1" applyBorder="1" applyAlignment="1">
      <alignment/>
    </xf>
    <xf numFmtId="0" fontId="0" fillId="38" borderId="3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0" fillId="0" borderId="8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38" borderId="41" xfId="67" applyFont="1" applyFill="1" applyBorder="1" applyAlignment="1">
      <alignment horizontal="left"/>
    </xf>
    <xf numFmtId="44" fontId="0" fillId="37" borderId="37" xfId="0" applyNumberFormat="1" applyFont="1" applyFill="1" applyBorder="1" applyAlignment="1">
      <alignment/>
    </xf>
    <xf numFmtId="49" fontId="0" fillId="0" borderId="72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14" fontId="0" fillId="0" borderId="37" xfId="0" applyNumberFormat="1" applyFont="1" applyBorder="1" applyAlignment="1">
      <alignment/>
    </xf>
    <xf numFmtId="14" fontId="0" fillId="36" borderId="82" xfId="0" applyNumberFormat="1" applyFont="1" applyFill="1" applyBorder="1" applyAlignment="1">
      <alignment horizontal="center"/>
    </xf>
    <xf numFmtId="0" fontId="0" fillId="36" borderId="28" xfId="0" applyFont="1" applyFill="1" applyBorder="1" applyAlignment="1">
      <alignment wrapText="1"/>
    </xf>
    <xf numFmtId="44" fontId="0" fillId="36" borderId="28" xfId="0" applyNumberFormat="1" applyFont="1" applyFill="1" applyBorder="1" applyAlignment="1">
      <alignment/>
    </xf>
    <xf numFmtId="0" fontId="0" fillId="36" borderId="83" xfId="67" applyFont="1" applyFill="1" applyBorder="1" applyAlignment="1">
      <alignment horizontal="left"/>
    </xf>
    <xf numFmtId="44" fontId="0" fillId="36" borderId="50" xfId="0" applyNumberFormat="1" applyFont="1" applyFill="1" applyBorder="1" applyAlignment="1">
      <alignment/>
    </xf>
    <xf numFmtId="0" fontId="21" fillId="36" borderId="49" xfId="0" applyFont="1" applyFill="1" applyBorder="1" applyAlignment="1">
      <alignment wrapText="1"/>
    </xf>
    <xf numFmtId="44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4" fontId="0" fillId="0" borderId="0" xfId="67" applyNumberFormat="1" applyFont="1" applyFill="1" applyBorder="1" applyAlignment="1">
      <alignment horizontal="left"/>
    </xf>
    <xf numFmtId="14" fontId="0" fillId="0" borderId="82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44" xfId="67" applyFont="1" applyFill="1" applyBorder="1" applyAlignment="1">
      <alignment horizontal="left"/>
    </xf>
    <xf numFmtId="0" fontId="0" fillId="0" borderId="28" xfId="0" applyFont="1" applyBorder="1" applyAlignment="1">
      <alignment/>
    </xf>
    <xf numFmtId="44" fontId="0" fillId="0" borderId="28" xfId="0" applyNumberFormat="1" applyFont="1" applyBorder="1" applyAlignment="1">
      <alignment/>
    </xf>
    <xf numFmtId="0" fontId="46" fillId="38" borderId="0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left"/>
    </xf>
    <xf numFmtId="0" fontId="47" fillId="38" borderId="37" xfId="0" applyFont="1" applyFill="1" applyBorder="1" applyAlignment="1">
      <alignment horizontal="left"/>
    </xf>
    <xf numFmtId="0" fontId="46" fillId="0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20" fillId="0" borderId="37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0" fillId="0" borderId="29" xfId="67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183" fontId="0" fillId="0" borderId="28" xfId="0" applyNumberFormat="1" applyFont="1" applyFill="1" applyBorder="1" applyAlignment="1">
      <alignment/>
    </xf>
    <xf numFmtId="183" fontId="0" fillId="0" borderId="28" xfId="0" applyNumberFormat="1" applyFont="1" applyFill="1" applyBorder="1" applyAlignment="1">
      <alignment/>
    </xf>
    <xf numFmtId="0" fontId="46" fillId="0" borderId="28" xfId="0" applyFont="1" applyFill="1" applyBorder="1" applyAlignment="1">
      <alignment horizontal="left"/>
    </xf>
    <xf numFmtId="0" fontId="5" fillId="0" borderId="37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5" fillId="0" borderId="83" xfId="0" applyFont="1" applyFill="1" applyBorder="1" applyAlignment="1">
      <alignment/>
    </xf>
    <xf numFmtId="0" fontId="0" fillId="0" borderId="25" xfId="67" applyFont="1" applyFill="1" applyBorder="1" applyAlignment="1">
      <alignment horizontal="left"/>
    </xf>
    <xf numFmtId="0" fontId="0" fillId="36" borderId="53" xfId="67" applyFont="1" applyFill="1" applyBorder="1" applyAlignment="1">
      <alignment horizontal="left"/>
    </xf>
    <xf numFmtId="44" fontId="0" fillId="0" borderId="83" xfId="0" applyNumberFormat="1" applyFont="1" applyFill="1" applyBorder="1" applyAlignment="1">
      <alignment/>
    </xf>
    <xf numFmtId="44" fontId="0" fillId="0" borderId="53" xfId="67" applyNumberFormat="1" applyFont="1" applyFill="1" applyBorder="1" applyAlignment="1">
      <alignment horizontal="left"/>
    </xf>
    <xf numFmtId="0" fontId="0" fillId="0" borderId="53" xfId="67" applyFont="1" applyFill="1" applyBorder="1" applyAlignment="1">
      <alignment horizontal="left"/>
    </xf>
    <xf numFmtId="44" fontId="0" fillId="0" borderId="84" xfId="0" applyNumberFormat="1" applyFont="1" applyFill="1" applyBorder="1" applyAlignment="1">
      <alignment/>
    </xf>
    <xf numFmtId="44" fontId="0" fillId="0" borderId="85" xfId="0" applyNumberFormat="1" applyFont="1" applyFill="1" applyBorder="1" applyAlignment="1">
      <alignment/>
    </xf>
    <xf numFmtId="0" fontId="21" fillId="0" borderId="86" xfId="0" applyFont="1" applyFill="1" applyBorder="1" applyAlignment="1">
      <alignment wrapText="1"/>
    </xf>
    <xf numFmtId="0" fontId="21" fillId="0" borderId="37" xfId="0" applyFont="1" applyFill="1" applyBorder="1" applyAlignment="1">
      <alignment wrapText="1"/>
    </xf>
    <xf numFmtId="14" fontId="0" fillId="0" borderId="87" xfId="0" applyNumberFormat="1" applyFont="1" applyFill="1" applyBorder="1" applyAlignment="1">
      <alignment horizontal="center"/>
    </xf>
    <xf numFmtId="183" fontId="0" fillId="0" borderId="44" xfId="0" applyNumberFormat="1" applyFont="1" applyFill="1" applyBorder="1" applyAlignment="1">
      <alignment/>
    </xf>
    <xf numFmtId="0" fontId="0" fillId="0" borderId="88" xfId="67" applyFont="1" applyFill="1" applyBorder="1" applyAlignment="1">
      <alignment horizontal="left"/>
    </xf>
    <xf numFmtId="0" fontId="20" fillId="0" borderId="44" xfId="0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38" borderId="37" xfId="0" applyFont="1" applyFill="1" applyBorder="1" applyAlignment="1">
      <alignment horizontal="left"/>
    </xf>
    <xf numFmtId="0" fontId="20" fillId="0" borderId="37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0" fillId="35" borderId="89" xfId="0" applyFont="1" applyFill="1" applyBorder="1" applyAlignment="1">
      <alignment wrapText="1"/>
    </xf>
    <xf numFmtId="44" fontId="0" fillId="0" borderId="0" xfId="62" applyFont="1" applyFill="1" applyAlignment="1">
      <alignment/>
    </xf>
    <xf numFmtId="44" fontId="0" fillId="0" borderId="0" xfId="62" applyFont="1" applyAlignment="1">
      <alignment/>
    </xf>
    <xf numFmtId="4" fontId="67" fillId="0" borderId="25" xfId="0" applyNumberFormat="1" applyFont="1" applyFill="1" applyBorder="1" applyAlignment="1">
      <alignment/>
    </xf>
    <xf numFmtId="0" fontId="20" fillId="0" borderId="37" xfId="0" applyFont="1" applyBorder="1" applyAlignment="1">
      <alignment/>
    </xf>
    <xf numFmtId="0" fontId="0" fillId="38" borderId="40" xfId="0" applyFont="1" applyFill="1" applyBorder="1" applyAlignment="1">
      <alignment horizontal="left"/>
    </xf>
    <xf numFmtId="0" fontId="0" fillId="38" borderId="40" xfId="67" applyFont="1" applyFill="1" applyBorder="1" applyAlignment="1">
      <alignment horizontal="left"/>
    </xf>
    <xf numFmtId="0" fontId="0" fillId="0" borderId="83" xfId="0" applyBorder="1" applyAlignment="1">
      <alignment/>
    </xf>
    <xf numFmtId="0" fontId="0" fillId="0" borderId="44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0" fontId="20" fillId="0" borderId="28" xfId="0" applyFont="1" applyFill="1" applyBorder="1" applyAlignment="1">
      <alignment/>
    </xf>
    <xf numFmtId="0" fontId="0" fillId="38" borderId="37" xfId="0" applyFont="1" applyFill="1" applyBorder="1" applyAlignment="1">
      <alignment horizontal="left" wrapText="1"/>
    </xf>
    <xf numFmtId="0" fontId="20" fillId="38" borderId="37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37" xfId="0" applyNumberFormat="1" applyFont="1" applyBorder="1" applyAlignment="1">
      <alignment/>
    </xf>
    <xf numFmtId="14" fontId="0" fillId="0" borderId="37" xfId="0" applyNumberFormat="1" applyFont="1" applyFill="1" applyBorder="1" applyAlignment="1">
      <alignment horizontal="left" wrapText="1"/>
    </xf>
    <xf numFmtId="14" fontId="0" fillId="36" borderId="37" xfId="0" applyNumberFormat="1" applyFont="1" applyFill="1" applyBorder="1" applyAlignment="1">
      <alignment horizontal="left" wrapText="1"/>
    </xf>
    <xf numFmtId="14" fontId="0" fillId="0" borderId="37" xfId="0" applyNumberFormat="1" applyFont="1" applyFill="1" applyBorder="1" applyAlignment="1">
      <alignment horizontal="left"/>
    </xf>
    <xf numFmtId="43" fontId="0" fillId="0" borderId="0" xfId="0" applyNumberFormat="1" applyFill="1" applyAlignment="1">
      <alignment/>
    </xf>
    <xf numFmtId="43" fontId="0" fillId="0" borderId="37" xfId="62" applyNumberFormat="1" applyFont="1" applyFill="1" applyBorder="1" applyAlignment="1">
      <alignment/>
    </xf>
    <xf numFmtId="43" fontId="0" fillId="0" borderId="37" xfId="62" applyNumberFormat="1" applyFont="1" applyFill="1" applyBorder="1" applyAlignment="1">
      <alignment/>
    </xf>
    <xf numFmtId="43" fontId="0" fillId="0" borderId="37" xfId="0" applyNumberFormat="1" applyFill="1" applyBorder="1" applyAlignment="1">
      <alignment/>
    </xf>
    <xf numFmtId="43" fontId="0" fillId="0" borderId="37" xfId="62" applyNumberFormat="1" applyFont="1" applyFill="1" applyBorder="1" applyAlignment="1">
      <alignment/>
    </xf>
    <xf numFmtId="43" fontId="0" fillId="0" borderId="37" xfId="62" applyNumberFormat="1" applyFont="1" applyBorder="1" applyAlignment="1">
      <alignment/>
    </xf>
    <xf numFmtId="43" fontId="0" fillId="37" borderId="37" xfId="62" applyNumberFormat="1" applyFont="1" applyFill="1" applyBorder="1" applyAlignment="1">
      <alignment/>
    </xf>
    <xf numFmtId="43" fontId="0" fillId="0" borderId="37" xfId="0" applyNumberFormat="1" applyBorder="1" applyAlignment="1">
      <alignment/>
    </xf>
    <xf numFmtId="43" fontId="20" fillId="0" borderId="37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37" borderId="58" xfId="0" applyFont="1" applyFill="1" applyBorder="1" applyAlignment="1">
      <alignment horizontal="center"/>
    </xf>
    <xf numFmtId="0" fontId="20" fillId="37" borderId="59" xfId="0" applyFont="1" applyFill="1" applyBorder="1" applyAlignment="1">
      <alignment horizontal="center"/>
    </xf>
    <xf numFmtId="0" fontId="20" fillId="37" borderId="6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4" fontId="20" fillId="0" borderId="37" xfId="0" applyNumberFormat="1" applyFont="1" applyFill="1" applyBorder="1" applyAlignment="1">
      <alignment horizont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xls-style-2" xfId="64"/>
    <cellStyle name="xls-style-3" xfId="65"/>
    <cellStyle name="xls-style-4" xfId="66"/>
    <cellStyle name="xls-style-5" xfId="67"/>
    <cellStyle name="xls-style-6" xfId="68"/>
    <cellStyle name="xls-style-7" xfId="69"/>
    <cellStyle name="xls-style-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7"/>
  <sheetViews>
    <sheetView tabSelected="1" zoomScale="93" zoomScaleNormal="93" zoomScalePageLayoutView="0" workbookViewId="0" topLeftCell="D4">
      <pane ySplit="1" topLeftCell="A44" activePane="bottomLeft" state="frozen"/>
      <selection pane="topLeft" activeCell="A4" sqref="A4"/>
      <selection pane="bottomLeft" activeCell="M58" sqref="M58"/>
    </sheetView>
  </sheetViews>
  <sheetFormatPr defaultColWidth="9.140625" defaultRowHeight="12.75"/>
  <cols>
    <col min="1" max="1" width="13.7109375" style="11" customWidth="1"/>
    <col min="2" max="2" width="39.7109375" style="11" customWidth="1"/>
    <col min="3" max="3" width="15.28125" style="444" customWidth="1"/>
    <col min="4" max="4" width="19.7109375" style="19" bestFit="1" customWidth="1"/>
    <col min="5" max="5" width="14.28125" style="19" customWidth="1"/>
    <col min="6" max="6" width="15.28125" style="19" customWidth="1"/>
    <col min="7" max="7" width="15.7109375" style="11" customWidth="1"/>
    <col min="8" max="8" width="12.140625" style="11" bestFit="1" customWidth="1"/>
    <col min="9" max="10" width="12.7109375" style="11" bestFit="1" customWidth="1"/>
    <col min="11" max="11" width="12.28125" style="11" bestFit="1" customWidth="1"/>
    <col min="12" max="12" width="12.28125" style="11" customWidth="1"/>
    <col min="13" max="13" width="15.421875" style="11" bestFit="1" customWidth="1"/>
    <col min="14" max="16384" width="9.140625" style="1" customWidth="1"/>
  </cols>
  <sheetData>
    <row r="1" spans="1:13" s="42" customFormat="1" ht="18" customHeight="1" hidden="1">
      <c r="A1" s="406" t="s">
        <v>192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2" s="42" customFormat="1" ht="18" customHeight="1" hidden="1">
      <c r="A2" s="406"/>
      <c r="B2" s="406"/>
      <c r="C2" s="406"/>
      <c r="D2" s="406"/>
      <c r="E2" s="406"/>
      <c r="F2" s="406"/>
      <c r="J2" s="466"/>
      <c r="K2" s="467"/>
      <c r="L2" s="468"/>
    </row>
    <row r="3" spans="1:13" s="43" customFormat="1" ht="23.25" customHeight="1" hidden="1" thickBot="1">
      <c r="A3" s="405" t="s">
        <v>348</v>
      </c>
      <c r="B3" s="405"/>
      <c r="C3" s="405"/>
      <c r="D3" s="405"/>
      <c r="E3" s="405"/>
      <c r="F3" s="405"/>
      <c r="G3" s="405"/>
      <c r="H3" s="405"/>
      <c r="I3" s="405"/>
      <c r="J3" s="469"/>
      <c r="K3" s="405"/>
      <c r="L3" s="470"/>
      <c r="M3" s="405"/>
    </row>
    <row r="4" spans="1:13" s="58" customFormat="1" ht="56.25" customHeight="1">
      <c r="A4" s="27" t="s">
        <v>8</v>
      </c>
      <c r="B4" s="500" t="s">
        <v>7</v>
      </c>
      <c r="C4" s="501" t="s">
        <v>554</v>
      </c>
      <c r="D4" s="502" t="s">
        <v>6</v>
      </c>
      <c r="E4" s="503" t="s">
        <v>301</v>
      </c>
      <c r="F4" s="504" t="s">
        <v>307</v>
      </c>
      <c r="G4" s="503" t="s">
        <v>308</v>
      </c>
      <c r="H4" s="503" t="s">
        <v>721</v>
      </c>
      <c r="I4" s="505" t="s">
        <v>305</v>
      </c>
      <c r="J4" s="506" t="s">
        <v>720</v>
      </c>
      <c r="K4" s="503" t="s">
        <v>309</v>
      </c>
      <c r="L4" s="507" t="s">
        <v>722</v>
      </c>
      <c r="M4" s="508" t="s">
        <v>310</v>
      </c>
    </row>
    <row r="5" spans="1:13" s="25" customFormat="1" ht="7.5" customHeight="1">
      <c r="A5" s="24"/>
      <c r="B5" s="59"/>
      <c r="C5" s="288"/>
      <c r="D5" s="407"/>
      <c r="E5" s="408"/>
      <c r="F5" s="174"/>
      <c r="G5" s="175"/>
      <c r="H5" s="175"/>
      <c r="I5" s="455"/>
      <c r="J5" s="471"/>
      <c r="K5" s="472"/>
      <c r="L5" s="473"/>
      <c r="M5" s="445"/>
    </row>
    <row r="6" spans="1:13" s="31" customFormat="1" ht="21.75" customHeight="1">
      <c r="A6" s="30" t="s">
        <v>9</v>
      </c>
      <c r="B6" s="60" t="s">
        <v>10</v>
      </c>
      <c r="C6" s="289"/>
      <c r="D6" s="409"/>
      <c r="E6" s="410"/>
      <c r="F6" s="176"/>
      <c r="G6" s="177"/>
      <c r="H6" s="177"/>
      <c r="I6" s="456"/>
      <c r="J6" s="474"/>
      <c r="K6" s="475"/>
      <c r="L6" s="476"/>
      <c r="M6" s="446"/>
    </row>
    <row r="7" spans="1:13" ht="33" customHeight="1">
      <c r="A7" s="22" t="s">
        <v>11</v>
      </c>
      <c r="B7" s="61" t="s">
        <v>4</v>
      </c>
      <c r="C7" s="411">
        <v>8000</v>
      </c>
      <c r="D7" s="412">
        <f>165003.98-8000</f>
        <v>157003.98</v>
      </c>
      <c r="E7" s="413">
        <f>SUM(C7:D7)</f>
        <v>165003.98</v>
      </c>
      <c r="F7" s="414">
        <v>0</v>
      </c>
      <c r="G7" s="412">
        <v>0</v>
      </c>
      <c r="H7" s="412">
        <v>0</v>
      </c>
      <c r="I7" s="457">
        <v>0</v>
      </c>
      <c r="J7" s="477">
        <v>0</v>
      </c>
      <c r="K7" s="478">
        <v>0</v>
      </c>
      <c r="L7" s="479">
        <v>0</v>
      </c>
      <c r="M7" s="447">
        <f>G7+K7</f>
        <v>0</v>
      </c>
    </row>
    <row r="8" spans="1:13" s="5" customFormat="1" ht="15.75" customHeight="1">
      <c r="A8" s="26" t="s">
        <v>12</v>
      </c>
      <c r="B8" s="62" t="s">
        <v>86</v>
      </c>
      <c r="C8" s="415"/>
      <c r="D8" s="253"/>
      <c r="E8" s="178"/>
      <c r="F8" s="416"/>
      <c r="G8" s="417"/>
      <c r="H8" s="418"/>
      <c r="I8" s="458"/>
      <c r="J8" s="480"/>
      <c r="K8" s="481"/>
      <c r="L8" s="482"/>
      <c r="M8" s="448"/>
    </row>
    <row r="9" spans="1:13" s="35" customFormat="1" ht="15.75" customHeight="1">
      <c r="A9" s="34" t="s">
        <v>19</v>
      </c>
      <c r="B9" s="63" t="s">
        <v>83</v>
      </c>
      <c r="C9" s="419"/>
      <c r="D9" s="254"/>
      <c r="E9" s="179"/>
      <c r="F9" s="420"/>
      <c r="G9" s="421"/>
      <c r="H9" s="421"/>
      <c r="I9" s="459"/>
      <c r="J9" s="483"/>
      <c r="K9" s="484"/>
      <c r="L9" s="485"/>
      <c r="M9" s="449"/>
    </row>
    <row r="10" spans="1:13" ht="15" customHeight="1">
      <c r="A10" s="20" t="s">
        <v>13</v>
      </c>
      <c r="B10" s="422" t="s">
        <v>87</v>
      </c>
      <c r="C10" s="423">
        <v>0</v>
      </c>
      <c r="D10" s="424">
        <v>0</v>
      </c>
      <c r="E10" s="425">
        <v>0</v>
      </c>
      <c r="F10" s="426">
        <v>0</v>
      </c>
      <c r="G10" s="427">
        <v>0</v>
      </c>
      <c r="H10" s="427">
        <f aca="true" t="shared" si="0" ref="H10:H15">F10-G10</f>
        <v>0</v>
      </c>
      <c r="I10" s="460">
        <f aca="true" t="shared" si="1" ref="I10:I15">E10-F10</f>
        <v>0</v>
      </c>
      <c r="J10" s="486">
        <v>0</v>
      </c>
      <c r="K10" s="487">
        <v>0</v>
      </c>
      <c r="L10" s="488">
        <f aca="true" t="shared" si="2" ref="L10:L15">J10-K100</f>
        <v>0</v>
      </c>
      <c r="M10" s="450">
        <f aca="true" t="shared" si="3" ref="M10:M15">G10+K10</f>
        <v>0</v>
      </c>
    </row>
    <row r="11" spans="1:13" ht="15" customHeight="1">
      <c r="A11" s="20" t="s">
        <v>14</v>
      </c>
      <c r="B11" s="422" t="s">
        <v>89</v>
      </c>
      <c r="C11" s="423">
        <v>0</v>
      </c>
      <c r="D11" s="424">
        <v>0</v>
      </c>
      <c r="E11" s="425">
        <v>0</v>
      </c>
      <c r="F11" s="426">
        <v>0</v>
      </c>
      <c r="G11" s="427">
        <v>0</v>
      </c>
      <c r="H11" s="427">
        <f t="shared" si="0"/>
        <v>0</v>
      </c>
      <c r="I11" s="460">
        <f t="shared" si="1"/>
        <v>0</v>
      </c>
      <c r="J11" s="486">
        <v>0</v>
      </c>
      <c r="K11" s="487">
        <v>0</v>
      </c>
      <c r="L11" s="488">
        <f t="shared" si="2"/>
        <v>0</v>
      </c>
      <c r="M11" s="450">
        <f t="shared" si="3"/>
        <v>0</v>
      </c>
    </row>
    <row r="12" spans="1:13" ht="15" customHeight="1">
      <c r="A12" s="20" t="s">
        <v>15</v>
      </c>
      <c r="B12" s="422" t="s">
        <v>90</v>
      </c>
      <c r="C12" s="423">
        <v>0</v>
      </c>
      <c r="D12" s="424">
        <v>0</v>
      </c>
      <c r="E12" s="425">
        <v>0</v>
      </c>
      <c r="F12" s="426">
        <v>0</v>
      </c>
      <c r="G12" s="427">
        <v>0</v>
      </c>
      <c r="H12" s="427">
        <f t="shared" si="0"/>
        <v>0</v>
      </c>
      <c r="I12" s="460">
        <f t="shared" si="1"/>
        <v>0</v>
      </c>
      <c r="J12" s="486">
        <v>0</v>
      </c>
      <c r="K12" s="487">
        <v>0</v>
      </c>
      <c r="L12" s="488">
        <f t="shared" si="2"/>
        <v>0</v>
      </c>
      <c r="M12" s="450">
        <f t="shared" si="3"/>
        <v>0</v>
      </c>
    </row>
    <row r="13" spans="1:13" ht="15" customHeight="1">
      <c r="A13" s="20" t="s">
        <v>16</v>
      </c>
      <c r="B13" s="422" t="s">
        <v>91</v>
      </c>
      <c r="C13" s="423">
        <v>0</v>
      </c>
      <c r="D13" s="424">
        <v>0</v>
      </c>
      <c r="E13" s="425">
        <v>0</v>
      </c>
      <c r="F13" s="426">
        <v>0</v>
      </c>
      <c r="G13" s="427">
        <v>0</v>
      </c>
      <c r="H13" s="427">
        <f t="shared" si="0"/>
        <v>0</v>
      </c>
      <c r="I13" s="460">
        <f t="shared" si="1"/>
        <v>0</v>
      </c>
      <c r="J13" s="486">
        <v>0</v>
      </c>
      <c r="K13" s="487">
        <v>0</v>
      </c>
      <c r="L13" s="488">
        <f t="shared" si="2"/>
        <v>0</v>
      </c>
      <c r="M13" s="450">
        <f t="shared" si="3"/>
        <v>0</v>
      </c>
    </row>
    <row r="14" spans="1:13" ht="15" customHeight="1">
      <c r="A14" s="20" t="s">
        <v>17</v>
      </c>
      <c r="B14" s="422" t="s">
        <v>176</v>
      </c>
      <c r="C14" s="423">
        <v>0</v>
      </c>
      <c r="D14" s="424">
        <v>0</v>
      </c>
      <c r="E14" s="425">
        <v>0</v>
      </c>
      <c r="F14" s="426">
        <v>0</v>
      </c>
      <c r="G14" s="427">
        <v>0</v>
      </c>
      <c r="H14" s="427">
        <f t="shared" si="0"/>
        <v>0</v>
      </c>
      <c r="I14" s="460">
        <f t="shared" si="1"/>
        <v>0</v>
      </c>
      <c r="J14" s="486">
        <v>0</v>
      </c>
      <c r="K14" s="487">
        <v>0</v>
      </c>
      <c r="L14" s="488">
        <f t="shared" si="2"/>
        <v>0</v>
      </c>
      <c r="M14" s="450">
        <f t="shared" si="3"/>
        <v>0</v>
      </c>
    </row>
    <row r="15" spans="1:13" ht="15" customHeight="1">
      <c r="A15" s="9" t="s">
        <v>201</v>
      </c>
      <c r="B15" s="422" t="s">
        <v>202</v>
      </c>
      <c r="C15" s="429">
        <v>0</v>
      </c>
      <c r="D15" s="424">
        <v>0</v>
      </c>
      <c r="E15" s="425">
        <v>0</v>
      </c>
      <c r="F15" s="430">
        <v>0</v>
      </c>
      <c r="G15" s="424">
        <v>0</v>
      </c>
      <c r="H15" s="427">
        <f t="shared" si="0"/>
        <v>0</v>
      </c>
      <c r="I15" s="460">
        <f t="shared" si="1"/>
        <v>0</v>
      </c>
      <c r="J15" s="486">
        <v>0</v>
      </c>
      <c r="K15" s="487">
        <v>0</v>
      </c>
      <c r="L15" s="488">
        <f t="shared" si="2"/>
        <v>0</v>
      </c>
      <c r="M15" s="450">
        <f t="shared" si="3"/>
        <v>0</v>
      </c>
    </row>
    <row r="16" spans="1:13" ht="18.75" customHeight="1">
      <c r="A16" s="8"/>
      <c r="B16" s="65" t="s">
        <v>156</v>
      </c>
      <c r="C16" s="431">
        <f>SUM(C10:C15)</f>
        <v>0</v>
      </c>
      <c r="D16" s="431">
        <f aca="true" t="shared" si="4" ref="D16:M16">SUM(D10:D15)</f>
        <v>0</v>
      </c>
      <c r="E16" s="431">
        <f t="shared" si="4"/>
        <v>0</v>
      </c>
      <c r="F16" s="431">
        <f t="shared" si="4"/>
        <v>0</v>
      </c>
      <c r="G16" s="431">
        <f t="shared" si="4"/>
        <v>0</v>
      </c>
      <c r="H16" s="431">
        <f t="shared" si="4"/>
        <v>0</v>
      </c>
      <c r="I16" s="461">
        <f t="shared" si="4"/>
        <v>0</v>
      </c>
      <c r="J16" s="489">
        <f t="shared" si="4"/>
        <v>0</v>
      </c>
      <c r="K16" s="489">
        <f t="shared" si="4"/>
        <v>0</v>
      </c>
      <c r="L16" s="489">
        <f t="shared" si="4"/>
        <v>0</v>
      </c>
      <c r="M16" s="451">
        <f t="shared" si="4"/>
        <v>0</v>
      </c>
    </row>
    <row r="17" spans="1:13" ht="16.5" customHeight="1">
      <c r="A17" s="13" t="s">
        <v>18</v>
      </c>
      <c r="B17" s="66" t="s">
        <v>94</v>
      </c>
      <c r="C17" s="432"/>
      <c r="D17" s="180"/>
      <c r="E17" s="181"/>
      <c r="F17" s="433"/>
      <c r="G17" s="434"/>
      <c r="H17" s="427"/>
      <c r="I17" s="460"/>
      <c r="J17" s="486"/>
      <c r="K17" s="487"/>
      <c r="L17" s="488"/>
      <c r="M17" s="450"/>
    </row>
    <row r="18" spans="1:13" ht="15" customHeight="1">
      <c r="A18" s="14" t="s">
        <v>20</v>
      </c>
      <c r="B18" s="67" t="s">
        <v>189</v>
      </c>
      <c r="C18" s="423">
        <v>0</v>
      </c>
      <c r="D18" s="424">
        <v>0</v>
      </c>
      <c r="E18" s="425">
        <f>SUM(C18:D18)</f>
        <v>0</v>
      </c>
      <c r="F18" s="426">
        <v>0</v>
      </c>
      <c r="G18" s="427">
        <v>0</v>
      </c>
      <c r="H18" s="427">
        <f>F18-G18</f>
        <v>0</v>
      </c>
      <c r="I18" s="460">
        <f>E18-F18</f>
        <v>0</v>
      </c>
      <c r="J18" s="486">
        <v>0</v>
      </c>
      <c r="K18" s="487">
        <v>0</v>
      </c>
      <c r="L18" s="488">
        <f>J18-K18</f>
        <v>0</v>
      </c>
      <c r="M18" s="450">
        <f>G18+K18</f>
        <v>0</v>
      </c>
    </row>
    <row r="19" spans="1:13" ht="32.25" customHeight="1">
      <c r="A19" s="14" t="s">
        <v>21</v>
      </c>
      <c r="B19" s="67" t="s">
        <v>191</v>
      </c>
      <c r="C19" s="423">
        <f>9000+7500+70000</f>
        <v>86500</v>
      </c>
      <c r="D19" s="427">
        <f>66.2+571.7+22682.95</f>
        <v>23320.850000000002</v>
      </c>
      <c r="E19" s="427">
        <f>SUM(C19:D19)</f>
        <v>109820.85</v>
      </c>
      <c r="F19" s="426">
        <f>84820.85+25000</f>
        <v>109820.85</v>
      </c>
      <c r="G19" s="426">
        <v>84820.85</v>
      </c>
      <c r="H19" s="427">
        <f>F19-G19</f>
        <v>25000</v>
      </c>
      <c r="I19" s="460">
        <f>E19-F19</f>
        <v>0</v>
      </c>
      <c r="J19" s="486">
        <v>0</v>
      </c>
      <c r="K19" s="487">
        <v>0</v>
      </c>
      <c r="L19" s="488">
        <f>J19-K19</f>
        <v>0</v>
      </c>
      <c r="M19" s="450">
        <f>G19+K19</f>
        <v>84820.85</v>
      </c>
    </row>
    <row r="20" spans="1:13" ht="15" customHeight="1">
      <c r="A20" s="14" t="s">
        <v>190</v>
      </c>
      <c r="B20" s="67" t="s">
        <v>93</v>
      </c>
      <c r="C20" s="423">
        <v>0</v>
      </c>
      <c r="D20" s="424">
        <v>0</v>
      </c>
      <c r="E20" s="425">
        <f>SUM(C20:D20)</f>
        <v>0</v>
      </c>
      <c r="F20" s="426">
        <v>0</v>
      </c>
      <c r="G20" s="427">
        <v>0</v>
      </c>
      <c r="H20" s="427">
        <f>F20-G20</f>
        <v>0</v>
      </c>
      <c r="I20" s="460">
        <f>E20-F20</f>
        <v>0</v>
      </c>
      <c r="J20" s="486">
        <v>0</v>
      </c>
      <c r="K20" s="487">
        <v>0</v>
      </c>
      <c r="L20" s="488">
        <f>J20-K20</f>
        <v>0</v>
      </c>
      <c r="M20" s="450">
        <f>G20+K20</f>
        <v>0</v>
      </c>
    </row>
    <row r="21" spans="1:13" ht="18.75" customHeight="1">
      <c r="A21" s="9"/>
      <c r="B21" s="68" t="s">
        <v>95</v>
      </c>
      <c r="C21" s="431">
        <f>SUM(C18:C20)</f>
        <v>86500</v>
      </c>
      <c r="D21" s="431">
        <f aca="true" t="shared" si="5" ref="D21:M21">SUM(D18:D20)</f>
        <v>23320.850000000002</v>
      </c>
      <c r="E21" s="431">
        <f t="shared" si="5"/>
        <v>109820.85</v>
      </c>
      <c r="F21" s="431">
        <f t="shared" si="5"/>
        <v>109820.85</v>
      </c>
      <c r="G21" s="431">
        <f t="shared" si="5"/>
        <v>84820.85</v>
      </c>
      <c r="H21" s="431">
        <f t="shared" si="5"/>
        <v>25000</v>
      </c>
      <c r="I21" s="461">
        <f t="shared" si="5"/>
        <v>0</v>
      </c>
      <c r="J21" s="489">
        <f t="shared" si="5"/>
        <v>0</v>
      </c>
      <c r="K21" s="489">
        <f t="shared" si="5"/>
        <v>0</v>
      </c>
      <c r="L21" s="489">
        <f t="shared" si="5"/>
        <v>0</v>
      </c>
      <c r="M21" s="451">
        <f t="shared" si="5"/>
        <v>84820.85</v>
      </c>
    </row>
    <row r="22" spans="1:13" ht="18.75" customHeight="1">
      <c r="A22" s="13" t="s">
        <v>22</v>
      </c>
      <c r="B22" s="66" t="s">
        <v>96</v>
      </c>
      <c r="C22" s="432"/>
      <c r="D22" s="180"/>
      <c r="E22" s="181"/>
      <c r="F22" s="433"/>
      <c r="G22" s="434"/>
      <c r="H22" s="434"/>
      <c r="I22" s="462"/>
      <c r="J22" s="490"/>
      <c r="K22" s="487"/>
      <c r="L22" s="488"/>
      <c r="M22" s="450"/>
    </row>
    <row r="23" spans="1:13" ht="15" customHeight="1">
      <c r="A23" s="20" t="s">
        <v>23</v>
      </c>
      <c r="B23" s="67" t="s">
        <v>97</v>
      </c>
      <c r="C23" s="423">
        <v>0</v>
      </c>
      <c r="D23" s="427">
        <v>4.35</v>
      </c>
      <c r="E23" s="428">
        <f>SUM(C23:D23)</f>
        <v>4.35</v>
      </c>
      <c r="F23" s="426">
        <v>4.35</v>
      </c>
      <c r="G23" s="427">
        <v>4.35</v>
      </c>
      <c r="H23" s="427">
        <v>0</v>
      </c>
      <c r="I23" s="645">
        <f>E23-F23</f>
        <v>0</v>
      </c>
      <c r="J23" s="486">
        <v>0</v>
      </c>
      <c r="K23" s="487">
        <v>0</v>
      </c>
      <c r="L23" s="488">
        <f>J23-K23</f>
        <v>0</v>
      </c>
      <c r="M23" s="450">
        <f>G23+K23</f>
        <v>4.35</v>
      </c>
    </row>
    <row r="24" spans="1:13" ht="15" customHeight="1">
      <c r="A24" s="20" t="s">
        <v>24</v>
      </c>
      <c r="B24" s="67" t="s">
        <v>3</v>
      </c>
      <c r="C24" s="435">
        <v>0</v>
      </c>
      <c r="D24" s="424">
        <v>0</v>
      </c>
      <c r="E24" s="428">
        <f>SUM(C24:D24)</f>
        <v>0</v>
      </c>
      <c r="F24" s="436">
        <v>0</v>
      </c>
      <c r="G24" s="437">
        <v>0</v>
      </c>
      <c r="H24" s="427">
        <f>F24-G24</f>
        <v>0</v>
      </c>
      <c r="I24" s="460">
        <f>E24-F24</f>
        <v>0</v>
      </c>
      <c r="J24" s="486">
        <v>0</v>
      </c>
      <c r="K24" s="487">
        <v>0</v>
      </c>
      <c r="L24" s="488">
        <f>J24-K24</f>
        <v>0</v>
      </c>
      <c r="M24" s="450">
        <f>G24+K24</f>
        <v>0</v>
      </c>
    </row>
    <row r="25" spans="1:13" ht="18.75" customHeight="1">
      <c r="A25" s="9"/>
      <c r="B25" s="68" t="s">
        <v>98</v>
      </c>
      <c r="C25" s="431">
        <f>SUM(C23:C24)</f>
        <v>0</v>
      </c>
      <c r="D25" s="431">
        <f aca="true" t="shared" si="6" ref="D25:M25">SUM(D23:D24)</f>
        <v>4.35</v>
      </c>
      <c r="E25" s="431">
        <f t="shared" si="6"/>
        <v>4.35</v>
      </c>
      <c r="F25" s="431">
        <f t="shared" si="6"/>
        <v>4.35</v>
      </c>
      <c r="G25" s="431">
        <f t="shared" si="6"/>
        <v>4.35</v>
      </c>
      <c r="H25" s="431">
        <f t="shared" si="6"/>
        <v>0</v>
      </c>
      <c r="I25" s="461">
        <f t="shared" si="6"/>
        <v>0</v>
      </c>
      <c r="J25" s="489">
        <f t="shared" si="6"/>
        <v>0</v>
      </c>
      <c r="K25" s="489">
        <f t="shared" si="6"/>
        <v>0</v>
      </c>
      <c r="L25" s="489">
        <f t="shared" si="6"/>
        <v>0</v>
      </c>
      <c r="M25" s="451">
        <f t="shared" si="6"/>
        <v>4.35</v>
      </c>
    </row>
    <row r="26" spans="1:13" ht="18.75" customHeight="1">
      <c r="A26" s="13" t="s">
        <v>25</v>
      </c>
      <c r="B26" s="66" t="s">
        <v>99</v>
      </c>
      <c r="C26" s="423"/>
      <c r="D26" s="180"/>
      <c r="E26" s="181"/>
      <c r="F26" s="426"/>
      <c r="G26" s="427"/>
      <c r="H26" s="427"/>
      <c r="I26" s="460"/>
      <c r="J26" s="486"/>
      <c r="K26" s="487"/>
      <c r="L26" s="488"/>
      <c r="M26" s="450"/>
    </row>
    <row r="27" spans="1:13" ht="13.5">
      <c r="A27" s="20" t="s">
        <v>26</v>
      </c>
      <c r="B27" s="67" t="s">
        <v>100</v>
      </c>
      <c r="C27" s="423">
        <f>1980+1650+15400</f>
        <v>19030</v>
      </c>
      <c r="D27" s="427">
        <f>14.56+125.77+4990.25</f>
        <v>5130.58</v>
      </c>
      <c r="E27" s="428">
        <f>C27+D27</f>
        <v>24160.58</v>
      </c>
      <c r="F27" s="426">
        <f>18660.58+5500</f>
        <v>24160.58</v>
      </c>
      <c r="G27" s="426">
        <v>18660.58</v>
      </c>
      <c r="H27" s="427">
        <f>F27-G27</f>
        <v>5500</v>
      </c>
      <c r="I27" s="460">
        <f>E27-F27</f>
        <v>0</v>
      </c>
      <c r="J27" s="486">
        <v>0</v>
      </c>
      <c r="K27" s="487">
        <v>0</v>
      </c>
      <c r="L27" s="488">
        <f>J27-K27</f>
        <v>0</v>
      </c>
      <c r="M27" s="450">
        <f>G27+K27</f>
        <v>18660.58</v>
      </c>
    </row>
    <row r="28" spans="1:14" ht="15" customHeight="1">
      <c r="A28" s="20" t="s">
        <v>27</v>
      </c>
      <c r="B28" s="67" t="s">
        <v>101</v>
      </c>
      <c r="C28" s="435">
        <v>0</v>
      </c>
      <c r="D28" s="430">
        <f>36119.29</f>
        <v>36119.29</v>
      </c>
      <c r="E28" s="425">
        <f>SUM(C28:D28)</f>
        <v>36119.29</v>
      </c>
      <c r="F28" s="430">
        <v>36119.29</v>
      </c>
      <c r="G28" s="430">
        <v>36119.29</v>
      </c>
      <c r="H28" s="427">
        <f>F28-G28</f>
        <v>0</v>
      </c>
      <c r="I28" s="645">
        <f>E28-F28</f>
        <v>0</v>
      </c>
      <c r="J28" s="486">
        <v>10000</v>
      </c>
      <c r="K28" s="487">
        <v>5000</v>
      </c>
      <c r="L28" s="488">
        <f>J28-K28</f>
        <v>5000</v>
      </c>
      <c r="M28" s="450">
        <f>G28+K28</f>
        <v>41119.29</v>
      </c>
      <c r="N28" s="189"/>
    </row>
    <row r="29" spans="1:13" ht="18.75" customHeight="1">
      <c r="A29" s="9"/>
      <c r="B29" s="68" t="s">
        <v>102</v>
      </c>
      <c r="C29" s="431">
        <f>SUM(C27:C28)</f>
        <v>19030</v>
      </c>
      <c r="D29" s="431">
        <f aca="true" t="shared" si="7" ref="D29:M29">SUM(D27:D28)</f>
        <v>41249.87</v>
      </c>
      <c r="E29" s="431">
        <f t="shared" si="7"/>
        <v>60279.87</v>
      </c>
      <c r="F29" s="431">
        <f t="shared" si="7"/>
        <v>60279.87</v>
      </c>
      <c r="G29" s="431">
        <f t="shared" si="7"/>
        <v>54779.87</v>
      </c>
      <c r="H29" s="431">
        <f t="shared" si="7"/>
        <v>5500</v>
      </c>
      <c r="I29" s="461">
        <f t="shared" si="7"/>
        <v>0</v>
      </c>
      <c r="J29" s="489">
        <f t="shared" si="7"/>
        <v>10000</v>
      </c>
      <c r="K29" s="489">
        <f t="shared" si="7"/>
        <v>5000</v>
      </c>
      <c r="L29" s="489">
        <f t="shared" si="7"/>
        <v>5000</v>
      </c>
      <c r="M29" s="451">
        <f t="shared" si="7"/>
        <v>59779.87</v>
      </c>
    </row>
    <row r="30" spans="1:13" ht="18.75" customHeight="1">
      <c r="A30" s="9"/>
      <c r="B30" s="69" t="s">
        <v>92</v>
      </c>
      <c r="C30" s="438">
        <f>C16+C21+C25+C29</f>
        <v>105530</v>
      </c>
      <c r="D30" s="438">
        <f aca="true" t="shared" si="8" ref="D30:M30">D16+D21+D25+D29</f>
        <v>64575.07000000001</v>
      </c>
      <c r="E30" s="438">
        <f t="shared" si="8"/>
        <v>170105.07</v>
      </c>
      <c r="F30" s="438">
        <f t="shared" si="8"/>
        <v>170105.07</v>
      </c>
      <c r="G30" s="438">
        <f t="shared" si="8"/>
        <v>139605.07</v>
      </c>
      <c r="H30" s="438">
        <f t="shared" si="8"/>
        <v>30500</v>
      </c>
      <c r="I30" s="463">
        <f t="shared" si="8"/>
        <v>0</v>
      </c>
      <c r="J30" s="491">
        <f t="shared" si="8"/>
        <v>10000</v>
      </c>
      <c r="K30" s="491">
        <f t="shared" si="8"/>
        <v>5000</v>
      </c>
      <c r="L30" s="491">
        <f t="shared" si="8"/>
        <v>5000</v>
      </c>
      <c r="M30" s="452">
        <f t="shared" si="8"/>
        <v>144605.07</v>
      </c>
    </row>
    <row r="31" spans="1:13" s="15" customFormat="1" ht="18.75" customHeight="1">
      <c r="A31" s="12" t="s">
        <v>28</v>
      </c>
      <c r="B31" s="70" t="s">
        <v>103</v>
      </c>
      <c r="C31" s="290"/>
      <c r="D31" s="183"/>
      <c r="E31" s="184"/>
      <c r="F31" s="182"/>
      <c r="G31" s="183"/>
      <c r="H31" s="183"/>
      <c r="I31" s="464"/>
      <c r="J31" s="492"/>
      <c r="K31" s="493"/>
      <c r="L31" s="494"/>
      <c r="M31" s="453"/>
    </row>
    <row r="32" spans="1:13" ht="18.75" customHeight="1">
      <c r="A32" s="16" t="s">
        <v>29</v>
      </c>
      <c r="B32" s="63" t="s">
        <v>104</v>
      </c>
      <c r="C32" s="432"/>
      <c r="D32" s="185"/>
      <c r="E32" s="186"/>
      <c r="F32" s="433"/>
      <c r="G32" s="434"/>
      <c r="H32" s="427"/>
      <c r="I32" s="460"/>
      <c r="J32" s="486"/>
      <c r="K32" s="487"/>
      <c r="L32" s="488"/>
      <c r="M32" s="450"/>
    </row>
    <row r="33" spans="1:13" ht="15" customHeight="1">
      <c r="A33" s="20" t="s">
        <v>30</v>
      </c>
      <c r="B33" s="422" t="s">
        <v>177</v>
      </c>
      <c r="C33" s="439">
        <v>0</v>
      </c>
      <c r="D33" s="424">
        <v>0</v>
      </c>
      <c r="E33" s="425">
        <f>SUM(C33:D33)</f>
        <v>0</v>
      </c>
      <c r="F33" s="430">
        <v>0</v>
      </c>
      <c r="G33" s="424">
        <v>0</v>
      </c>
      <c r="H33" s="427">
        <f>F33-G33</f>
        <v>0</v>
      </c>
      <c r="I33" s="460">
        <f>E33-F33</f>
        <v>0</v>
      </c>
      <c r="J33" s="486">
        <v>0</v>
      </c>
      <c r="K33" s="487">
        <v>0</v>
      </c>
      <c r="L33" s="488">
        <f>J33-K33</f>
        <v>0</v>
      </c>
      <c r="M33" s="450">
        <f>G33+K33</f>
        <v>0</v>
      </c>
    </row>
    <row r="34" spans="1:13" ht="15" customHeight="1">
      <c r="A34" s="20" t="s">
        <v>31</v>
      </c>
      <c r="B34" s="422" t="s">
        <v>42</v>
      </c>
      <c r="C34" s="439">
        <v>0</v>
      </c>
      <c r="D34" s="424">
        <v>0</v>
      </c>
      <c r="E34" s="425">
        <f>SUM(C34:D34)</f>
        <v>0</v>
      </c>
      <c r="F34" s="430">
        <v>0</v>
      </c>
      <c r="G34" s="424">
        <v>0</v>
      </c>
      <c r="H34" s="427">
        <f>F34-G34</f>
        <v>0</v>
      </c>
      <c r="I34" s="460">
        <f>E34-F34</f>
        <v>0</v>
      </c>
      <c r="J34" s="486">
        <v>0</v>
      </c>
      <c r="K34" s="487">
        <v>0</v>
      </c>
      <c r="L34" s="488">
        <f>J34-K34</f>
        <v>0</v>
      </c>
      <c r="M34" s="450">
        <f>G34+K34</f>
        <v>0</v>
      </c>
    </row>
    <row r="35" spans="1:13" ht="15" customHeight="1">
      <c r="A35" s="20" t="s">
        <v>32</v>
      </c>
      <c r="B35" s="422" t="s">
        <v>178</v>
      </c>
      <c r="C35" s="439">
        <v>0</v>
      </c>
      <c r="D35" s="424">
        <v>0</v>
      </c>
      <c r="E35" s="425">
        <f>SUM(C35:D35)</f>
        <v>0</v>
      </c>
      <c r="F35" s="430">
        <v>0</v>
      </c>
      <c r="G35" s="424">
        <v>0</v>
      </c>
      <c r="H35" s="427">
        <f>F35-G35</f>
        <v>0</v>
      </c>
      <c r="I35" s="460">
        <f>E35-F35</f>
        <v>0</v>
      </c>
      <c r="J35" s="486">
        <v>0</v>
      </c>
      <c r="K35" s="487">
        <v>0</v>
      </c>
      <c r="L35" s="488">
        <f>J35-K35</f>
        <v>0</v>
      </c>
      <c r="M35" s="450">
        <f>G35+K35</f>
        <v>0</v>
      </c>
    </row>
    <row r="36" spans="1:13" ht="15" customHeight="1">
      <c r="A36" s="20" t="s">
        <v>33</v>
      </c>
      <c r="B36" s="422" t="s">
        <v>2</v>
      </c>
      <c r="C36" s="439">
        <v>0</v>
      </c>
      <c r="D36" s="424">
        <v>0</v>
      </c>
      <c r="E36" s="425">
        <f>SUM(C36:D36)</f>
        <v>0</v>
      </c>
      <c r="F36" s="430">
        <v>0</v>
      </c>
      <c r="G36" s="424">
        <v>0</v>
      </c>
      <c r="H36" s="427">
        <f>F36-G36</f>
        <v>0</v>
      </c>
      <c r="I36" s="460">
        <f>E36-F36</f>
        <v>0</v>
      </c>
      <c r="J36" s="486">
        <v>0</v>
      </c>
      <c r="K36" s="487">
        <v>0</v>
      </c>
      <c r="L36" s="488">
        <f>J36-K36</f>
        <v>0</v>
      </c>
      <c r="M36" s="450">
        <f>G36+K36</f>
        <v>0</v>
      </c>
    </row>
    <row r="37" spans="1:13" ht="15" customHeight="1">
      <c r="A37" s="20" t="s">
        <v>34</v>
      </c>
      <c r="B37" s="422" t="s">
        <v>179</v>
      </c>
      <c r="C37" s="429">
        <v>0</v>
      </c>
      <c r="D37" s="440">
        <v>0</v>
      </c>
      <c r="E37" s="425">
        <f>SUM(C37:D37)</f>
        <v>0</v>
      </c>
      <c r="F37" s="441">
        <v>0</v>
      </c>
      <c r="G37" s="440">
        <v>0</v>
      </c>
      <c r="H37" s="427">
        <f>F37-G37</f>
        <v>0</v>
      </c>
      <c r="I37" s="460">
        <f>E37-F37</f>
        <v>0</v>
      </c>
      <c r="J37" s="486">
        <v>0</v>
      </c>
      <c r="K37" s="487">
        <v>0</v>
      </c>
      <c r="L37" s="488">
        <f>J37-K37</f>
        <v>0</v>
      </c>
      <c r="M37" s="450">
        <f>G37+K37</f>
        <v>0</v>
      </c>
    </row>
    <row r="38" spans="1:13" s="6" customFormat="1" ht="18.75" customHeight="1">
      <c r="A38" s="10"/>
      <c r="B38" s="71" t="s">
        <v>105</v>
      </c>
      <c r="C38" s="431">
        <f>SUM(C33:C37)</f>
        <v>0</v>
      </c>
      <c r="D38" s="431">
        <f aca="true" t="shared" si="9" ref="D38:M38">SUM(D33:D37)</f>
        <v>0</v>
      </c>
      <c r="E38" s="431">
        <f t="shared" si="9"/>
        <v>0</v>
      </c>
      <c r="F38" s="431">
        <f t="shared" si="9"/>
        <v>0</v>
      </c>
      <c r="G38" s="431">
        <f t="shared" si="9"/>
        <v>0</v>
      </c>
      <c r="H38" s="431">
        <f t="shared" si="9"/>
        <v>0</v>
      </c>
      <c r="I38" s="461">
        <f t="shared" si="9"/>
        <v>0</v>
      </c>
      <c r="J38" s="489">
        <f t="shared" si="9"/>
        <v>0</v>
      </c>
      <c r="K38" s="489">
        <f t="shared" si="9"/>
        <v>0</v>
      </c>
      <c r="L38" s="489">
        <f t="shared" si="9"/>
        <v>0</v>
      </c>
      <c r="M38" s="451">
        <f t="shared" si="9"/>
        <v>0</v>
      </c>
    </row>
    <row r="39" spans="1:13" ht="18.75" customHeight="1">
      <c r="A39" s="16" t="s">
        <v>35</v>
      </c>
      <c r="B39" s="63" t="s">
        <v>106</v>
      </c>
      <c r="C39" s="432"/>
      <c r="D39" s="185"/>
      <c r="E39" s="186"/>
      <c r="F39" s="433"/>
      <c r="G39" s="434"/>
      <c r="H39" s="427"/>
      <c r="I39" s="460"/>
      <c r="J39" s="486"/>
      <c r="K39" s="487"/>
      <c r="L39" s="488"/>
      <c r="M39" s="450"/>
    </row>
    <row r="40" spans="1:13" ht="15" customHeight="1">
      <c r="A40" s="20" t="s">
        <v>107</v>
      </c>
      <c r="B40" s="422" t="s">
        <v>180</v>
      </c>
      <c r="C40" s="439">
        <v>0</v>
      </c>
      <c r="D40" s="424">
        <v>0</v>
      </c>
      <c r="E40" s="425">
        <f>SUM(C40:D40)</f>
        <v>0</v>
      </c>
      <c r="F40" s="430">
        <v>0</v>
      </c>
      <c r="G40" s="424">
        <v>0</v>
      </c>
      <c r="H40" s="427">
        <f>F40-G40</f>
        <v>0</v>
      </c>
      <c r="I40" s="460">
        <f>E40-F40</f>
        <v>0</v>
      </c>
      <c r="J40" s="486">
        <v>0</v>
      </c>
      <c r="K40" s="487">
        <v>0</v>
      </c>
      <c r="L40" s="488">
        <f>J40-K40</f>
        <v>0</v>
      </c>
      <c r="M40" s="450">
        <f>G40+K40</f>
        <v>0</v>
      </c>
    </row>
    <row r="41" spans="1:13" ht="15" customHeight="1">
      <c r="A41" s="20" t="s">
        <v>36</v>
      </c>
      <c r="B41" s="422" t="s">
        <v>181</v>
      </c>
      <c r="C41" s="439">
        <v>0</v>
      </c>
      <c r="D41" s="424">
        <v>0</v>
      </c>
      <c r="E41" s="425">
        <f>SUM(C41:D41)</f>
        <v>0</v>
      </c>
      <c r="F41" s="430">
        <v>0</v>
      </c>
      <c r="G41" s="424">
        <v>0</v>
      </c>
      <c r="H41" s="427">
        <f>F41-G41</f>
        <v>0</v>
      </c>
      <c r="I41" s="460">
        <f>E41-F41</f>
        <v>0</v>
      </c>
      <c r="J41" s="486">
        <v>0</v>
      </c>
      <c r="K41" s="487">
        <v>0</v>
      </c>
      <c r="L41" s="488">
        <f>J41-K41</f>
        <v>0</v>
      </c>
      <c r="M41" s="450">
        <f>G41+K41</f>
        <v>0</v>
      </c>
    </row>
    <row r="42" spans="1:13" ht="15" customHeight="1">
      <c r="A42" s="20" t="s">
        <v>37</v>
      </c>
      <c r="B42" s="422" t="s">
        <v>182</v>
      </c>
      <c r="C42" s="439">
        <v>0</v>
      </c>
      <c r="D42" s="424">
        <v>0</v>
      </c>
      <c r="E42" s="425">
        <f>SUM(C42:D42)</f>
        <v>0</v>
      </c>
      <c r="F42" s="430">
        <v>0</v>
      </c>
      <c r="G42" s="424">
        <v>0</v>
      </c>
      <c r="H42" s="427">
        <f>F42-G42</f>
        <v>0</v>
      </c>
      <c r="I42" s="460">
        <f>E42-F42</f>
        <v>0</v>
      </c>
      <c r="J42" s="486">
        <v>0</v>
      </c>
      <c r="K42" s="487">
        <v>0</v>
      </c>
      <c r="L42" s="488">
        <f>J42-K42</f>
        <v>0</v>
      </c>
      <c r="M42" s="450">
        <f>G42+K42</f>
        <v>0</v>
      </c>
    </row>
    <row r="43" spans="1:13" ht="15" customHeight="1">
      <c r="A43" s="20" t="s">
        <v>38</v>
      </c>
      <c r="B43" s="422" t="s">
        <v>183</v>
      </c>
      <c r="C43" s="439">
        <f>13901.9+13162.5</f>
        <v>27064.4</v>
      </c>
      <c r="D43" s="424">
        <f>3500+6610.46+53167.83-6702.11+26000+3154.75</f>
        <v>85730.93</v>
      </c>
      <c r="E43" s="425">
        <f>SUM(C43:D43)</f>
        <v>112795.32999999999</v>
      </c>
      <c r="F43" s="430">
        <f>107530.33+5265</f>
        <v>112795.33</v>
      </c>
      <c r="G43" s="424">
        <v>107530.33</v>
      </c>
      <c r="H43" s="427">
        <f>F43-G43</f>
        <v>5265</v>
      </c>
      <c r="I43" s="645">
        <f>E43-F43</f>
        <v>0</v>
      </c>
      <c r="J43" s="486">
        <f>155812.5+46207.66</f>
        <v>202020.16</v>
      </c>
      <c r="K43" s="487">
        <v>46207.66</v>
      </c>
      <c r="L43" s="488">
        <f>J43-K43</f>
        <v>155812.5</v>
      </c>
      <c r="M43" s="450">
        <f>G43+K43</f>
        <v>153737.99</v>
      </c>
    </row>
    <row r="44" spans="1:13" ht="15" customHeight="1">
      <c r="A44" s="20" t="s">
        <v>39</v>
      </c>
      <c r="B44" s="422" t="s">
        <v>184</v>
      </c>
      <c r="C44" s="429">
        <v>0</v>
      </c>
      <c r="D44" s="440">
        <v>0</v>
      </c>
      <c r="E44" s="425">
        <f>SUM(C44:D44)</f>
        <v>0</v>
      </c>
      <c r="F44" s="441">
        <v>0</v>
      </c>
      <c r="G44" s="440">
        <v>0</v>
      </c>
      <c r="H44" s="427">
        <f>F44-G44</f>
        <v>0</v>
      </c>
      <c r="I44" s="460">
        <f>E44-F44</f>
        <v>0</v>
      </c>
      <c r="J44" s="486">
        <v>0</v>
      </c>
      <c r="K44" s="487">
        <v>0</v>
      </c>
      <c r="L44" s="488">
        <f>J44-K44</f>
        <v>0</v>
      </c>
      <c r="M44" s="450">
        <f>G44+K44</f>
        <v>0</v>
      </c>
    </row>
    <row r="45" spans="1:13" ht="18.75" customHeight="1">
      <c r="A45" s="23" t="s">
        <v>88</v>
      </c>
      <c r="B45" s="71" t="s">
        <v>108</v>
      </c>
      <c r="C45" s="431">
        <f>SUM(C40:C44)</f>
        <v>27064.4</v>
      </c>
      <c r="D45" s="431">
        <f aca="true" t="shared" si="10" ref="D45:M45">SUM(D40:D44)</f>
        <v>85730.93</v>
      </c>
      <c r="E45" s="431">
        <f t="shared" si="10"/>
        <v>112795.32999999999</v>
      </c>
      <c r="F45" s="431">
        <f t="shared" si="10"/>
        <v>112795.33</v>
      </c>
      <c r="G45" s="431">
        <f t="shared" si="10"/>
        <v>107530.33</v>
      </c>
      <c r="H45" s="431">
        <f t="shared" si="10"/>
        <v>5265</v>
      </c>
      <c r="I45" s="461">
        <f t="shared" si="10"/>
        <v>0</v>
      </c>
      <c r="J45" s="489">
        <f t="shared" si="10"/>
        <v>202020.16</v>
      </c>
      <c r="K45" s="489">
        <f t="shared" si="10"/>
        <v>46207.66</v>
      </c>
      <c r="L45" s="489">
        <f t="shared" si="10"/>
        <v>155812.5</v>
      </c>
      <c r="M45" s="451">
        <f t="shared" si="10"/>
        <v>153737.99</v>
      </c>
    </row>
    <row r="46" spans="1:13" ht="18.75" customHeight="1">
      <c r="A46" s="8"/>
      <c r="B46" s="72" t="s">
        <v>109</v>
      </c>
      <c r="C46" s="423"/>
      <c r="D46" s="442"/>
      <c r="E46" s="443"/>
      <c r="F46" s="426"/>
      <c r="G46" s="427"/>
      <c r="H46" s="427"/>
      <c r="I46" s="460"/>
      <c r="J46" s="486"/>
      <c r="K46" s="487"/>
      <c r="L46" s="488"/>
      <c r="M46" s="450"/>
    </row>
    <row r="47" spans="1:13" ht="15" customHeight="1">
      <c r="A47" s="20" t="s">
        <v>110</v>
      </c>
      <c r="B47" s="422" t="s">
        <v>112</v>
      </c>
      <c r="C47" s="423">
        <v>0</v>
      </c>
      <c r="D47" s="424">
        <v>0</v>
      </c>
      <c r="E47" s="425">
        <f>SUM(C47:D47)</f>
        <v>0</v>
      </c>
      <c r="F47" s="426">
        <v>0</v>
      </c>
      <c r="G47" s="427">
        <v>0</v>
      </c>
      <c r="H47" s="427">
        <v>0</v>
      </c>
      <c r="I47" s="460">
        <f>E47-F47</f>
        <v>0</v>
      </c>
      <c r="J47" s="486">
        <v>0</v>
      </c>
      <c r="K47" s="487">
        <v>0</v>
      </c>
      <c r="L47" s="488">
        <f>J47-K47</f>
        <v>0</v>
      </c>
      <c r="M47" s="450">
        <f>G46+K46</f>
        <v>0</v>
      </c>
    </row>
    <row r="48" spans="1:13" ht="15" customHeight="1">
      <c r="A48" s="20" t="s">
        <v>111</v>
      </c>
      <c r="B48" s="422" t="s">
        <v>113</v>
      </c>
      <c r="C48" s="423">
        <v>0</v>
      </c>
      <c r="D48" s="424">
        <v>0</v>
      </c>
      <c r="E48" s="425">
        <f>SUM(C48:D48)</f>
        <v>0</v>
      </c>
      <c r="F48" s="426">
        <v>0</v>
      </c>
      <c r="G48" s="427">
        <v>0</v>
      </c>
      <c r="H48" s="427">
        <v>0</v>
      </c>
      <c r="I48" s="460">
        <f>E48-F48</f>
        <v>0</v>
      </c>
      <c r="J48" s="486">
        <v>0</v>
      </c>
      <c r="K48" s="487">
        <v>0</v>
      </c>
      <c r="L48" s="488">
        <f>J48-K48</f>
        <v>0</v>
      </c>
      <c r="M48" s="450">
        <f>G47+K47</f>
        <v>0</v>
      </c>
    </row>
    <row r="49" spans="1:13" ht="18.75" customHeight="1">
      <c r="A49" s="20" t="s">
        <v>88</v>
      </c>
      <c r="B49" s="65" t="s">
        <v>114</v>
      </c>
      <c r="C49" s="431">
        <f>SUM(C47:C48)</f>
        <v>0</v>
      </c>
      <c r="D49" s="431">
        <f aca="true" t="shared" si="11" ref="D49:M49">SUM(D47:D48)</f>
        <v>0</v>
      </c>
      <c r="E49" s="431">
        <f t="shared" si="11"/>
        <v>0</v>
      </c>
      <c r="F49" s="431">
        <f t="shared" si="11"/>
        <v>0</v>
      </c>
      <c r="G49" s="431">
        <f t="shared" si="11"/>
        <v>0</v>
      </c>
      <c r="H49" s="431">
        <f t="shared" si="11"/>
        <v>0</v>
      </c>
      <c r="I49" s="461">
        <f t="shared" si="11"/>
        <v>0</v>
      </c>
      <c r="J49" s="489">
        <f t="shared" si="11"/>
        <v>0</v>
      </c>
      <c r="K49" s="489">
        <f t="shared" si="11"/>
        <v>0</v>
      </c>
      <c r="L49" s="489">
        <f t="shared" si="11"/>
        <v>0</v>
      </c>
      <c r="M49" s="451">
        <f t="shared" si="11"/>
        <v>0</v>
      </c>
    </row>
    <row r="50" spans="1:13" s="6" customFormat="1" ht="18.75" customHeight="1">
      <c r="A50" s="21"/>
      <c r="B50" s="69" t="s">
        <v>119</v>
      </c>
      <c r="C50" s="431">
        <f>C38+C45+C49</f>
        <v>27064.4</v>
      </c>
      <c r="D50" s="431">
        <f aca="true" t="shared" si="12" ref="D50:M50">D38+D45+D49</f>
        <v>85730.93</v>
      </c>
      <c r="E50" s="431">
        <f t="shared" si="12"/>
        <v>112795.32999999999</v>
      </c>
      <c r="F50" s="431">
        <f t="shared" si="12"/>
        <v>112795.33</v>
      </c>
      <c r="G50" s="431">
        <f t="shared" si="12"/>
        <v>107530.33</v>
      </c>
      <c r="H50" s="431">
        <f t="shared" si="12"/>
        <v>5265</v>
      </c>
      <c r="I50" s="461">
        <f t="shared" si="12"/>
        <v>0</v>
      </c>
      <c r="J50" s="489">
        <f t="shared" si="12"/>
        <v>202020.16</v>
      </c>
      <c r="K50" s="489">
        <f t="shared" si="12"/>
        <v>46207.66</v>
      </c>
      <c r="L50" s="489">
        <f t="shared" si="12"/>
        <v>155812.5</v>
      </c>
      <c r="M50" s="451">
        <f t="shared" si="12"/>
        <v>153737.99</v>
      </c>
    </row>
    <row r="51" spans="1:14" s="17" customFormat="1" ht="18.75" customHeight="1">
      <c r="A51" s="16" t="s">
        <v>40</v>
      </c>
      <c r="B51" s="73" t="s">
        <v>43</v>
      </c>
      <c r="C51" s="291"/>
      <c r="D51" s="180"/>
      <c r="E51" s="181"/>
      <c r="F51" s="187"/>
      <c r="G51" s="180"/>
      <c r="H51" s="185"/>
      <c r="I51" s="465"/>
      <c r="J51" s="495"/>
      <c r="K51" s="496"/>
      <c r="L51" s="497"/>
      <c r="M51" s="454"/>
      <c r="N51" s="1"/>
    </row>
    <row r="52" spans="1:13" ht="15" customHeight="1">
      <c r="A52" s="20" t="s">
        <v>41</v>
      </c>
      <c r="B52" s="422" t="s">
        <v>1</v>
      </c>
      <c r="C52" s="439">
        <v>0</v>
      </c>
      <c r="D52" s="424">
        <v>0</v>
      </c>
      <c r="E52" s="425">
        <f>SUM(C52:D52)</f>
        <v>0</v>
      </c>
      <c r="F52" s="430">
        <v>0</v>
      </c>
      <c r="G52" s="427">
        <v>0</v>
      </c>
      <c r="H52" s="427">
        <f>F52-G52</f>
        <v>0</v>
      </c>
      <c r="I52" s="460">
        <f>E52-F52</f>
        <v>0</v>
      </c>
      <c r="J52" s="486">
        <v>0</v>
      </c>
      <c r="K52" s="487">
        <v>0</v>
      </c>
      <c r="L52" s="488">
        <f>J52-K52</f>
        <v>0</v>
      </c>
      <c r="M52" s="450">
        <f>G52+K52</f>
        <v>0</v>
      </c>
    </row>
    <row r="53" spans="1:13" ht="15" customHeight="1">
      <c r="A53" s="20" t="s">
        <v>115</v>
      </c>
      <c r="B53" s="422" t="s">
        <v>0</v>
      </c>
      <c r="C53" s="439">
        <v>25000</v>
      </c>
      <c r="D53" s="424">
        <v>-13995.16</v>
      </c>
      <c r="E53" s="425">
        <f>SUM(C53:D53)</f>
        <v>11004.84</v>
      </c>
      <c r="F53" s="430">
        <f>9384.84+1620</f>
        <v>11004.84</v>
      </c>
      <c r="G53" s="424">
        <v>9384.84</v>
      </c>
      <c r="H53" s="427">
        <f>F53-G53</f>
        <v>1620</v>
      </c>
      <c r="I53" s="460">
        <f>E53-F53</f>
        <v>0</v>
      </c>
      <c r="J53" s="486">
        <f>0.13+1620</f>
        <v>1620.13</v>
      </c>
      <c r="K53" s="487">
        <f>620+500+500</f>
        <v>1620</v>
      </c>
      <c r="L53" s="488">
        <f>J53-K53</f>
        <v>0.13000000000010914</v>
      </c>
      <c r="M53" s="450">
        <f>G53+K53</f>
        <v>11004.84</v>
      </c>
    </row>
    <row r="54" spans="1:13" ht="15" customHeight="1">
      <c r="A54" s="20" t="s">
        <v>116</v>
      </c>
      <c r="B54" s="422" t="s">
        <v>44</v>
      </c>
      <c r="C54" s="439">
        <v>20000</v>
      </c>
      <c r="D54" s="424">
        <v>-15137</v>
      </c>
      <c r="E54" s="425">
        <f>SUM(C54:D54)</f>
        <v>4863</v>
      </c>
      <c r="F54" s="430">
        <f>4851.81+11.19</f>
        <v>4863</v>
      </c>
      <c r="G54" s="430">
        <v>4851.81</v>
      </c>
      <c r="H54" s="427">
        <f>F54-G54</f>
        <v>11.1899999999996</v>
      </c>
      <c r="I54" s="460">
        <f>E54-F54</f>
        <v>0</v>
      </c>
      <c r="J54" s="486">
        <v>0.27</v>
      </c>
      <c r="K54" s="487">
        <v>0</v>
      </c>
      <c r="L54" s="488">
        <f>J54-K54</f>
        <v>0.27</v>
      </c>
      <c r="M54" s="450">
        <f>G54+K54</f>
        <v>4851.81</v>
      </c>
    </row>
    <row r="55" spans="1:13" ht="15" customHeight="1">
      <c r="A55" s="20" t="s">
        <v>117</v>
      </c>
      <c r="B55" s="422" t="s">
        <v>171</v>
      </c>
      <c r="C55" s="439">
        <v>100</v>
      </c>
      <c r="D55" s="424">
        <v>332.24</v>
      </c>
      <c r="E55" s="425">
        <f>SUM(C55:D55)</f>
        <v>432.24</v>
      </c>
      <c r="F55" s="430">
        <f>197.94+234.3</f>
        <v>432.24</v>
      </c>
      <c r="G55" s="430">
        <v>197.94</v>
      </c>
      <c r="H55" s="427">
        <f>F55-G55</f>
        <v>234.3</v>
      </c>
      <c r="I55" s="460">
        <f>E55-F55</f>
        <v>0</v>
      </c>
      <c r="J55" s="486">
        <v>7.16</v>
      </c>
      <c r="K55" s="487">
        <v>0</v>
      </c>
      <c r="L55" s="488">
        <f>J55-K55</f>
        <v>7.16</v>
      </c>
      <c r="M55" s="450">
        <f>G55+K55</f>
        <v>197.94</v>
      </c>
    </row>
    <row r="56" spans="1:13" ht="15" customHeight="1">
      <c r="A56" s="20" t="s">
        <v>118</v>
      </c>
      <c r="B56" s="422" t="s">
        <v>172</v>
      </c>
      <c r="C56" s="429">
        <v>0</v>
      </c>
      <c r="D56" s="424">
        <v>0</v>
      </c>
      <c r="E56" s="425">
        <f>SUM(C56:D56)</f>
        <v>0</v>
      </c>
      <c r="F56" s="441">
        <v>0</v>
      </c>
      <c r="G56" s="437">
        <v>0</v>
      </c>
      <c r="H56" s="427">
        <f>F56-G56</f>
        <v>0</v>
      </c>
      <c r="I56" s="460">
        <f>E56-F56</f>
        <v>0</v>
      </c>
      <c r="J56" s="486"/>
      <c r="K56" s="487">
        <v>0</v>
      </c>
      <c r="L56" s="488">
        <f>J56-K56</f>
        <v>0</v>
      </c>
      <c r="M56" s="450">
        <f>G56+K56</f>
        <v>0</v>
      </c>
    </row>
    <row r="57" spans="1:14" ht="18.75" customHeight="1">
      <c r="A57" s="8"/>
      <c r="B57" s="74" t="s">
        <v>120</v>
      </c>
      <c r="C57" s="431">
        <f>SUM(C52:C56)</f>
        <v>45100</v>
      </c>
      <c r="D57" s="431">
        <f aca="true" t="shared" si="13" ref="D57:M57">SUM(D52:D56)</f>
        <v>-28799.92</v>
      </c>
      <c r="E57" s="431">
        <f t="shared" si="13"/>
        <v>16300.08</v>
      </c>
      <c r="F57" s="431">
        <f t="shared" si="13"/>
        <v>16300.08</v>
      </c>
      <c r="G57" s="431">
        <f t="shared" si="13"/>
        <v>14434.590000000002</v>
      </c>
      <c r="H57" s="431">
        <f t="shared" si="13"/>
        <v>1865.4899999999996</v>
      </c>
      <c r="I57" s="461">
        <f t="shared" si="13"/>
        <v>0</v>
      </c>
      <c r="J57" s="489">
        <f t="shared" si="13"/>
        <v>1627.5600000000002</v>
      </c>
      <c r="K57" s="489">
        <f t="shared" si="13"/>
        <v>1620</v>
      </c>
      <c r="L57" s="489">
        <f t="shared" si="13"/>
        <v>7.560000000000109</v>
      </c>
      <c r="M57" s="451">
        <f t="shared" si="13"/>
        <v>16054.590000000002</v>
      </c>
      <c r="N57" s="3">
        <f>SUM(I57:K57)</f>
        <v>3247.5600000000004</v>
      </c>
    </row>
    <row r="58" spans="1:13" s="29" customFormat="1" ht="18.75" customHeight="1" thickBot="1">
      <c r="A58" s="28"/>
      <c r="B58" s="499" t="s">
        <v>45</v>
      </c>
      <c r="C58" s="498">
        <f>C7+C30+C50+C57</f>
        <v>185694.4</v>
      </c>
      <c r="D58" s="498">
        <f aca="true" t="shared" si="14" ref="D58:M58">D7+D30+D50+D57</f>
        <v>278510.06</v>
      </c>
      <c r="E58" s="498">
        <f t="shared" si="14"/>
        <v>464204.46</v>
      </c>
      <c r="F58" s="498">
        <f t="shared" si="14"/>
        <v>299200.48000000004</v>
      </c>
      <c r="G58" s="498">
        <f t="shared" si="14"/>
        <v>261569.99000000002</v>
      </c>
      <c r="H58" s="498">
        <f t="shared" si="14"/>
        <v>37630.49</v>
      </c>
      <c r="I58" s="498">
        <f t="shared" si="14"/>
        <v>0</v>
      </c>
      <c r="J58" s="498">
        <f t="shared" si="14"/>
        <v>213647.72</v>
      </c>
      <c r="K58" s="498">
        <f t="shared" si="14"/>
        <v>52827.66</v>
      </c>
      <c r="L58" s="498">
        <f t="shared" si="14"/>
        <v>160820.06</v>
      </c>
      <c r="M58" s="498">
        <f t="shared" si="14"/>
        <v>314397.65</v>
      </c>
    </row>
    <row r="59" spans="1:12" s="11" customFormat="1" ht="18.75" customHeight="1">
      <c r="A59" s="18"/>
      <c r="C59" s="39"/>
      <c r="D59" s="19"/>
      <c r="E59" s="19"/>
      <c r="F59" s="48"/>
      <c r="L59" s="19">
        <f>H58+L58</f>
        <v>198450.55</v>
      </c>
    </row>
    <row r="60" spans="1:7" s="11" customFormat="1" ht="18.75" customHeight="1">
      <c r="A60" s="18"/>
      <c r="C60" s="39"/>
      <c r="D60" s="19"/>
      <c r="E60" s="19"/>
      <c r="F60" s="48"/>
      <c r="G60" s="19"/>
    </row>
    <row r="61" spans="1:13" s="11" customFormat="1" ht="18.75" customHeight="1">
      <c r="A61" s="18"/>
      <c r="C61" s="39"/>
      <c r="D61" s="19"/>
      <c r="E61" s="19"/>
      <c r="F61" s="48"/>
      <c r="M61" s="19"/>
    </row>
    <row r="62" spans="3:6" s="11" customFormat="1" ht="18.75" customHeight="1">
      <c r="C62" s="40"/>
      <c r="F62" s="40"/>
    </row>
    <row r="63" spans="1:6" s="11" customFormat="1" ht="18.75" customHeight="1">
      <c r="A63" s="18"/>
      <c r="C63" s="39"/>
      <c r="D63" s="19"/>
      <c r="E63" s="19"/>
      <c r="F63" s="48"/>
    </row>
    <row r="64" spans="3:6" s="11" customFormat="1" ht="18.75" customHeight="1">
      <c r="C64" s="39"/>
      <c r="D64" s="19"/>
      <c r="E64" s="19"/>
      <c r="F64" s="48"/>
    </row>
    <row r="65" spans="3:6" s="11" customFormat="1" ht="18.75" customHeight="1">
      <c r="C65" s="39"/>
      <c r="D65" s="19"/>
      <c r="E65" s="19"/>
      <c r="F65" s="48"/>
    </row>
    <row r="66" spans="3:6" s="11" customFormat="1" ht="18.75" customHeight="1">
      <c r="C66" s="41"/>
      <c r="F66" s="40"/>
    </row>
    <row r="67" spans="3:6" s="11" customFormat="1" ht="18.75" customHeight="1">
      <c r="C67" s="39"/>
      <c r="D67" s="19"/>
      <c r="E67" s="19"/>
      <c r="F67" s="48"/>
    </row>
    <row r="68" spans="3:6" s="11" customFormat="1" ht="13.5">
      <c r="C68" s="39"/>
      <c r="D68" s="19"/>
      <c r="E68" s="19"/>
      <c r="F68" s="48"/>
    </row>
    <row r="69" spans="3:6" s="11" customFormat="1" ht="13.5">
      <c r="C69" s="39"/>
      <c r="D69" s="19"/>
      <c r="E69" s="19"/>
      <c r="F69" s="48"/>
    </row>
    <row r="70" spans="3:6" s="11" customFormat="1" ht="13.5">
      <c r="C70" s="39"/>
      <c r="D70" s="19"/>
      <c r="E70" s="19"/>
      <c r="F70" s="48"/>
    </row>
    <row r="71" spans="3:6" s="11" customFormat="1" ht="13.5">
      <c r="C71" s="39"/>
      <c r="D71" s="19"/>
      <c r="E71" s="19"/>
      <c r="F71" s="48"/>
    </row>
    <row r="72" spans="3:6" s="11" customFormat="1" ht="13.5">
      <c r="C72" s="39"/>
      <c r="D72" s="19"/>
      <c r="E72" s="19"/>
      <c r="F72" s="48"/>
    </row>
    <row r="73" spans="3:6" s="11" customFormat="1" ht="13.5">
      <c r="C73" s="39"/>
      <c r="D73" s="19"/>
      <c r="E73" s="19"/>
      <c r="F73" s="48"/>
    </row>
    <row r="74" spans="3:6" s="11" customFormat="1" ht="13.5">
      <c r="C74" s="39"/>
      <c r="D74" s="19"/>
      <c r="E74" s="19"/>
      <c r="F74" s="48"/>
    </row>
    <row r="75" spans="3:6" s="11" customFormat="1" ht="13.5">
      <c r="C75" s="39"/>
      <c r="D75" s="19"/>
      <c r="E75" s="19"/>
      <c r="F75" s="48"/>
    </row>
    <row r="76" spans="3:6" s="11" customFormat="1" ht="13.5">
      <c r="C76" s="39"/>
      <c r="D76" s="19"/>
      <c r="E76" s="19"/>
      <c r="F76" s="48"/>
    </row>
    <row r="77" spans="3:6" s="11" customFormat="1" ht="13.5">
      <c r="C77" s="39"/>
      <c r="D77" s="19"/>
      <c r="E77" s="19"/>
      <c r="F77" s="48"/>
    </row>
    <row r="78" spans="3:6" s="11" customFormat="1" ht="13.5">
      <c r="C78" s="39"/>
      <c r="D78" s="19"/>
      <c r="E78" s="19"/>
      <c r="F78" s="48"/>
    </row>
    <row r="79" spans="3:6" s="11" customFormat="1" ht="13.5">
      <c r="C79" s="39"/>
      <c r="D79" s="19"/>
      <c r="E79" s="19"/>
      <c r="F79" s="48"/>
    </row>
    <row r="80" spans="3:6" s="11" customFormat="1" ht="13.5">
      <c r="C80" s="39"/>
      <c r="D80" s="19"/>
      <c r="E80" s="19"/>
      <c r="F80" s="48"/>
    </row>
    <row r="81" spans="3:6" s="11" customFormat="1" ht="13.5">
      <c r="C81" s="39"/>
      <c r="D81" s="19"/>
      <c r="E81" s="19"/>
      <c r="F81" s="48"/>
    </row>
    <row r="82" spans="3:6" s="11" customFormat="1" ht="13.5">
      <c r="C82" s="39"/>
      <c r="D82" s="19"/>
      <c r="E82" s="19"/>
      <c r="F82" s="48"/>
    </row>
    <row r="83" spans="3:6" s="11" customFormat="1" ht="13.5">
      <c r="C83" s="39"/>
      <c r="D83" s="19"/>
      <c r="E83" s="19"/>
      <c r="F83" s="48"/>
    </row>
    <row r="84" spans="3:6" s="11" customFormat="1" ht="13.5">
      <c r="C84" s="39"/>
      <c r="D84" s="19"/>
      <c r="E84" s="19"/>
      <c r="F84" s="48"/>
    </row>
    <row r="85" spans="3:6" s="11" customFormat="1" ht="13.5">
      <c r="C85" s="39"/>
      <c r="D85" s="19"/>
      <c r="E85" s="19"/>
      <c r="F85" s="48"/>
    </row>
    <row r="86" spans="3:6" s="11" customFormat="1" ht="13.5">
      <c r="C86" s="39"/>
      <c r="D86" s="19"/>
      <c r="E86" s="19"/>
      <c r="F86" s="48"/>
    </row>
    <row r="87" spans="3:6" s="11" customFormat="1" ht="13.5">
      <c r="C87" s="39"/>
      <c r="D87" s="19"/>
      <c r="E87" s="19"/>
      <c r="F87" s="48"/>
    </row>
    <row r="88" spans="3:6" s="11" customFormat="1" ht="13.5">
      <c r="C88" s="39"/>
      <c r="D88" s="19"/>
      <c r="E88" s="19"/>
      <c r="F88" s="48"/>
    </row>
    <row r="89" spans="3:6" s="11" customFormat="1" ht="13.5">
      <c r="C89" s="39"/>
      <c r="D89" s="19"/>
      <c r="E89" s="19"/>
      <c r="F89" s="48"/>
    </row>
    <row r="90" spans="3:6" s="11" customFormat="1" ht="13.5">
      <c r="C90" s="39"/>
      <c r="D90" s="19"/>
      <c r="E90" s="19"/>
      <c r="F90" s="48"/>
    </row>
    <row r="91" spans="3:6" s="11" customFormat="1" ht="13.5">
      <c r="C91" s="39"/>
      <c r="D91" s="19"/>
      <c r="E91" s="19"/>
      <c r="F91" s="48"/>
    </row>
    <row r="92" spans="3:6" s="11" customFormat="1" ht="13.5">
      <c r="C92" s="39"/>
      <c r="D92" s="19"/>
      <c r="E92" s="19"/>
      <c r="F92" s="48"/>
    </row>
    <row r="93" spans="3:6" s="11" customFormat="1" ht="13.5">
      <c r="C93" s="39"/>
      <c r="D93" s="19"/>
      <c r="E93" s="19"/>
      <c r="F93" s="48"/>
    </row>
    <row r="94" spans="3:6" s="11" customFormat="1" ht="13.5">
      <c r="C94" s="39"/>
      <c r="D94" s="19"/>
      <c r="E94" s="19"/>
      <c r="F94" s="48"/>
    </row>
    <row r="95" spans="3:6" s="11" customFormat="1" ht="13.5">
      <c r="C95" s="39"/>
      <c r="D95" s="19"/>
      <c r="E95" s="19"/>
      <c r="F95" s="48"/>
    </row>
    <row r="96" spans="3:6" s="11" customFormat="1" ht="13.5">
      <c r="C96" s="39"/>
      <c r="D96" s="19"/>
      <c r="E96" s="19"/>
      <c r="F96" s="48"/>
    </row>
    <row r="97" spans="3:6" s="11" customFormat="1" ht="13.5">
      <c r="C97" s="39"/>
      <c r="D97" s="19"/>
      <c r="E97" s="19"/>
      <c r="F97" s="48"/>
    </row>
    <row r="98" spans="3:6" s="11" customFormat="1" ht="13.5">
      <c r="C98" s="39"/>
      <c r="D98" s="19"/>
      <c r="E98" s="19"/>
      <c r="F98" s="48"/>
    </row>
    <row r="99" spans="3:6" s="11" customFormat="1" ht="13.5">
      <c r="C99" s="39"/>
      <c r="D99" s="19"/>
      <c r="E99" s="19"/>
      <c r="F99" s="48"/>
    </row>
    <row r="100" spans="3:6" s="11" customFormat="1" ht="13.5">
      <c r="C100" s="39"/>
      <c r="D100" s="19"/>
      <c r="E100" s="19"/>
      <c r="F100" s="48"/>
    </row>
    <row r="101" spans="3:6" s="11" customFormat="1" ht="13.5">
      <c r="C101" s="39"/>
      <c r="D101" s="19"/>
      <c r="E101" s="19"/>
      <c r="F101" s="48"/>
    </row>
    <row r="102" spans="3:6" s="11" customFormat="1" ht="13.5">
      <c r="C102" s="39"/>
      <c r="D102" s="19"/>
      <c r="E102" s="19"/>
      <c r="F102" s="48"/>
    </row>
    <row r="103" spans="3:6" s="11" customFormat="1" ht="13.5">
      <c r="C103" s="39"/>
      <c r="D103" s="19"/>
      <c r="E103" s="19"/>
      <c r="F103" s="48"/>
    </row>
    <row r="104" spans="3:6" s="11" customFormat="1" ht="13.5">
      <c r="C104" s="39"/>
      <c r="D104" s="19"/>
      <c r="E104" s="19"/>
      <c r="F104" s="48"/>
    </row>
    <row r="105" spans="3:6" s="11" customFormat="1" ht="13.5">
      <c r="C105" s="39"/>
      <c r="D105" s="19"/>
      <c r="E105" s="19"/>
      <c r="F105" s="48"/>
    </row>
    <row r="106" spans="3:6" s="11" customFormat="1" ht="13.5">
      <c r="C106" s="39"/>
      <c r="D106" s="19"/>
      <c r="E106" s="19"/>
      <c r="F106" s="48"/>
    </row>
    <row r="107" spans="3:6" s="11" customFormat="1" ht="13.5">
      <c r="C107" s="39"/>
      <c r="D107" s="19"/>
      <c r="E107" s="19"/>
      <c r="F107" s="48"/>
    </row>
    <row r="108" spans="3:6" s="11" customFormat="1" ht="13.5">
      <c r="C108" s="39"/>
      <c r="D108" s="19"/>
      <c r="E108" s="19"/>
      <c r="F108" s="48"/>
    </row>
    <row r="109" spans="3:6" s="11" customFormat="1" ht="13.5">
      <c r="C109" s="39"/>
      <c r="D109" s="19"/>
      <c r="E109" s="19"/>
      <c r="F109" s="48"/>
    </row>
    <row r="110" spans="3:6" s="11" customFormat="1" ht="13.5">
      <c r="C110" s="39"/>
      <c r="D110" s="19"/>
      <c r="E110" s="19"/>
      <c r="F110" s="48"/>
    </row>
    <row r="111" spans="3:6" s="11" customFormat="1" ht="13.5">
      <c r="C111" s="39"/>
      <c r="D111" s="19"/>
      <c r="E111" s="19"/>
      <c r="F111" s="48"/>
    </row>
    <row r="112" spans="3:6" s="11" customFormat="1" ht="13.5">
      <c r="C112" s="39"/>
      <c r="D112" s="19"/>
      <c r="E112" s="19"/>
      <c r="F112" s="48"/>
    </row>
    <row r="113" spans="3:6" s="11" customFormat="1" ht="13.5">
      <c r="C113" s="39"/>
      <c r="D113" s="19"/>
      <c r="E113" s="19"/>
      <c r="F113" s="48"/>
    </row>
    <row r="114" spans="3:6" s="11" customFormat="1" ht="13.5">
      <c r="C114" s="39"/>
      <c r="D114" s="19"/>
      <c r="E114" s="19"/>
      <c r="F114" s="48"/>
    </row>
    <row r="115" spans="3:6" s="11" customFormat="1" ht="13.5">
      <c r="C115" s="39"/>
      <c r="D115" s="19"/>
      <c r="E115" s="19"/>
      <c r="F115" s="48"/>
    </row>
    <row r="116" spans="3:6" s="11" customFormat="1" ht="13.5">
      <c r="C116" s="39"/>
      <c r="D116" s="19"/>
      <c r="E116" s="19"/>
      <c r="F116" s="48"/>
    </row>
    <row r="117" spans="3:6" s="11" customFormat="1" ht="13.5">
      <c r="C117" s="39"/>
      <c r="D117" s="19"/>
      <c r="E117" s="19"/>
      <c r="F117" s="48"/>
    </row>
    <row r="118" spans="3:6" s="11" customFormat="1" ht="13.5">
      <c r="C118" s="39"/>
      <c r="D118" s="19"/>
      <c r="E118" s="19"/>
      <c r="F118" s="48"/>
    </row>
    <row r="119" spans="3:6" s="11" customFormat="1" ht="13.5">
      <c r="C119" s="39"/>
      <c r="D119" s="19"/>
      <c r="E119" s="19"/>
      <c r="F119" s="48"/>
    </row>
    <row r="120" spans="3:6" s="11" customFormat="1" ht="13.5">
      <c r="C120" s="39"/>
      <c r="D120" s="19"/>
      <c r="E120" s="19"/>
      <c r="F120" s="48"/>
    </row>
    <row r="121" spans="3:6" s="11" customFormat="1" ht="13.5">
      <c r="C121" s="39"/>
      <c r="D121" s="19"/>
      <c r="E121" s="19"/>
      <c r="F121" s="48"/>
    </row>
    <row r="122" spans="3:6" s="11" customFormat="1" ht="13.5">
      <c r="C122" s="39"/>
      <c r="D122" s="19"/>
      <c r="E122" s="19"/>
      <c r="F122" s="48"/>
    </row>
    <row r="123" spans="3:6" s="11" customFormat="1" ht="13.5">
      <c r="C123" s="39"/>
      <c r="D123" s="19"/>
      <c r="E123" s="19"/>
      <c r="F123" s="48"/>
    </row>
    <row r="124" spans="3:6" s="11" customFormat="1" ht="13.5">
      <c r="C124" s="39"/>
      <c r="D124" s="19"/>
      <c r="E124" s="19"/>
      <c r="F124" s="48"/>
    </row>
    <row r="125" spans="3:6" s="11" customFormat="1" ht="13.5">
      <c r="C125" s="39"/>
      <c r="D125" s="19"/>
      <c r="E125" s="19"/>
      <c r="F125" s="48"/>
    </row>
    <row r="126" spans="3:6" s="11" customFormat="1" ht="13.5">
      <c r="C126" s="39"/>
      <c r="D126" s="19"/>
      <c r="E126" s="19"/>
      <c r="F126" s="48"/>
    </row>
    <row r="127" spans="3:6" s="11" customFormat="1" ht="13.5">
      <c r="C127" s="39"/>
      <c r="D127" s="19"/>
      <c r="E127" s="19"/>
      <c r="F127" s="48"/>
    </row>
    <row r="128" spans="3:6" s="11" customFormat="1" ht="13.5">
      <c r="C128" s="39"/>
      <c r="D128" s="19"/>
      <c r="E128" s="19"/>
      <c r="F128" s="48"/>
    </row>
    <row r="129" spans="3:6" s="11" customFormat="1" ht="13.5">
      <c r="C129" s="39"/>
      <c r="D129" s="19"/>
      <c r="E129" s="19"/>
      <c r="F129" s="48"/>
    </row>
    <row r="130" spans="3:6" s="11" customFormat="1" ht="13.5">
      <c r="C130" s="39"/>
      <c r="D130" s="19"/>
      <c r="E130" s="19"/>
      <c r="F130" s="48"/>
    </row>
    <row r="131" spans="3:6" s="11" customFormat="1" ht="13.5">
      <c r="C131" s="39"/>
      <c r="D131" s="19"/>
      <c r="E131" s="19"/>
      <c r="F131" s="48"/>
    </row>
    <row r="132" spans="3:6" s="11" customFormat="1" ht="13.5">
      <c r="C132" s="39"/>
      <c r="D132" s="19"/>
      <c r="E132" s="19"/>
      <c r="F132" s="48"/>
    </row>
    <row r="133" spans="3:6" s="11" customFormat="1" ht="13.5">
      <c r="C133" s="39"/>
      <c r="D133" s="19"/>
      <c r="E133" s="19"/>
      <c r="F133" s="48"/>
    </row>
    <row r="134" spans="3:6" s="11" customFormat="1" ht="13.5">
      <c r="C134" s="39"/>
      <c r="D134" s="19"/>
      <c r="E134" s="19"/>
      <c r="F134" s="48"/>
    </row>
    <row r="135" spans="3:6" s="11" customFormat="1" ht="13.5">
      <c r="C135" s="39"/>
      <c r="D135" s="19"/>
      <c r="E135" s="19"/>
      <c r="F135" s="48"/>
    </row>
    <row r="136" spans="3:6" s="11" customFormat="1" ht="13.5">
      <c r="C136" s="39"/>
      <c r="D136" s="19"/>
      <c r="E136" s="19"/>
      <c r="F136" s="48"/>
    </row>
    <row r="137" spans="3:6" s="11" customFormat="1" ht="13.5">
      <c r="C137" s="39"/>
      <c r="D137" s="19"/>
      <c r="E137" s="19"/>
      <c r="F137" s="48"/>
    </row>
    <row r="138" spans="3:6" s="11" customFormat="1" ht="13.5">
      <c r="C138" s="39"/>
      <c r="D138" s="19"/>
      <c r="E138" s="19"/>
      <c r="F138" s="48"/>
    </row>
    <row r="139" spans="3:6" s="11" customFormat="1" ht="13.5">
      <c r="C139" s="39"/>
      <c r="D139" s="19"/>
      <c r="E139" s="19"/>
      <c r="F139" s="48"/>
    </row>
    <row r="140" spans="3:6" s="11" customFormat="1" ht="13.5">
      <c r="C140" s="39"/>
      <c r="D140" s="19"/>
      <c r="E140" s="19"/>
      <c r="F140" s="48"/>
    </row>
    <row r="141" spans="3:6" s="11" customFormat="1" ht="13.5">
      <c r="C141" s="39"/>
      <c r="D141" s="19"/>
      <c r="E141" s="19"/>
      <c r="F141" s="48"/>
    </row>
    <row r="142" spans="3:6" s="11" customFormat="1" ht="13.5">
      <c r="C142" s="39"/>
      <c r="D142" s="19"/>
      <c r="E142" s="19"/>
      <c r="F142" s="48"/>
    </row>
    <row r="143" spans="3:6" s="11" customFormat="1" ht="13.5">
      <c r="C143" s="39"/>
      <c r="D143" s="19"/>
      <c r="E143" s="19"/>
      <c r="F143" s="48"/>
    </row>
    <row r="144" spans="3:6" s="11" customFormat="1" ht="13.5">
      <c r="C144" s="39"/>
      <c r="D144" s="19"/>
      <c r="E144" s="19"/>
      <c r="F144" s="48"/>
    </row>
    <row r="145" spans="3:6" s="11" customFormat="1" ht="13.5">
      <c r="C145" s="39"/>
      <c r="D145" s="19"/>
      <c r="E145" s="19"/>
      <c r="F145" s="48"/>
    </row>
    <row r="146" spans="3:6" s="11" customFormat="1" ht="13.5">
      <c r="C146" s="39"/>
      <c r="D146" s="19"/>
      <c r="E146" s="19"/>
      <c r="F146" s="48"/>
    </row>
    <row r="147" spans="3:6" s="11" customFormat="1" ht="13.5">
      <c r="C147" s="39"/>
      <c r="D147" s="19"/>
      <c r="E147" s="19"/>
      <c r="F147" s="48"/>
    </row>
    <row r="148" spans="3:6" s="11" customFormat="1" ht="13.5">
      <c r="C148" s="39"/>
      <c r="D148" s="19"/>
      <c r="E148" s="19"/>
      <c r="F148" s="48"/>
    </row>
    <row r="149" spans="3:6" s="11" customFormat="1" ht="13.5">
      <c r="C149" s="39"/>
      <c r="D149" s="19"/>
      <c r="E149" s="19"/>
      <c r="F149" s="48"/>
    </row>
    <row r="150" spans="3:6" s="11" customFormat="1" ht="13.5">
      <c r="C150" s="39"/>
      <c r="D150" s="19"/>
      <c r="E150" s="19"/>
      <c r="F150" s="48"/>
    </row>
    <row r="151" spans="3:6" s="11" customFormat="1" ht="13.5">
      <c r="C151" s="39"/>
      <c r="D151" s="19"/>
      <c r="E151" s="19"/>
      <c r="F151" s="48"/>
    </row>
    <row r="152" spans="3:6" s="11" customFormat="1" ht="13.5">
      <c r="C152" s="39"/>
      <c r="D152" s="19"/>
      <c r="E152" s="19"/>
      <c r="F152" s="48"/>
    </row>
    <row r="153" spans="3:6" s="11" customFormat="1" ht="13.5">
      <c r="C153" s="39"/>
      <c r="D153" s="19"/>
      <c r="E153" s="19"/>
      <c r="F153" s="48"/>
    </row>
    <row r="154" spans="3:6" s="11" customFormat="1" ht="13.5">
      <c r="C154" s="39"/>
      <c r="D154" s="19"/>
      <c r="E154" s="19"/>
      <c r="F154" s="48"/>
    </row>
    <row r="155" spans="3:6" s="11" customFormat="1" ht="13.5">
      <c r="C155" s="39"/>
      <c r="D155" s="19"/>
      <c r="E155" s="19"/>
      <c r="F155" s="48"/>
    </row>
    <row r="156" spans="3:6" s="11" customFormat="1" ht="13.5">
      <c r="C156" s="39"/>
      <c r="D156" s="19"/>
      <c r="E156" s="19"/>
      <c r="F156" s="48"/>
    </row>
    <row r="157" spans="3:6" s="11" customFormat="1" ht="13.5">
      <c r="C157" s="39"/>
      <c r="D157" s="19"/>
      <c r="E157" s="19"/>
      <c r="F157" s="48"/>
    </row>
    <row r="158" spans="3:6" s="11" customFormat="1" ht="13.5">
      <c r="C158" s="39"/>
      <c r="D158" s="19"/>
      <c r="E158" s="19"/>
      <c r="F158" s="48"/>
    </row>
    <row r="159" spans="3:6" s="11" customFormat="1" ht="13.5">
      <c r="C159" s="39"/>
      <c r="D159" s="19"/>
      <c r="E159" s="19"/>
      <c r="F159" s="48"/>
    </row>
    <row r="160" spans="3:6" s="11" customFormat="1" ht="13.5">
      <c r="C160" s="39"/>
      <c r="D160" s="19"/>
      <c r="E160" s="19"/>
      <c r="F160" s="48"/>
    </row>
    <row r="161" spans="3:6" s="11" customFormat="1" ht="13.5">
      <c r="C161" s="39"/>
      <c r="D161" s="19"/>
      <c r="E161" s="19"/>
      <c r="F161" s="48"/>
    </row>
    <row r="162" spans="3:6" s="11" customFormat="1" ht="13.5">
      <c r="C162" s="39"/>
      <c r="D162" s="19"/>
      <c r="E162" s="19"/>
      <c r="F162" s="48"/>
    </row>
    <row r="163" spans="3:6" s="11" customFormat="1" ht="13.5">
      <c r="C163" s="39"/>
      <c r="D163" s="19"/>
      <c r="E163" s="19"/>
      <c r="F163" s="48"/>
    </row>
    <row r="164" spans="3:6" s="11" customFormat="1" ht="13.5">
      <c r="C164" s="39"/>
      <c r="D164" s="19"/>
      <c r="E164" s="19"/>
      <c r="F164" s="48"/>
    </row>
    <row r="165" spans="3:6" s="11" customFormat="1" ht="13.5">
      <c r="C165" s="39"/>
      <c r="D165" s="19"/>
      <c r="E165" s="19"/>
      <c r="F165" s="48"/>
    </row>
    <row r="166" spans="3:6" s="11" customFormat="1" ht="13.5">
      <c r="C166" s="39"/>
      <c r="D166" s="19"/>
      <c r="E166" s="19"/>
      <c r="F166" s="48"/>
    </row>
    <row r="167" spans="3:6" s="11" customFormat="1" ht="13.5">
      <c r="C167" s="39"/>
      <c r="D167" s="19"/>
      <c r="E167" s="19"/>
      <c r="F167" s="48"/>
    </row>
    <row r="168" spans="3:6" s="11" customFormat="1" ht="13.5">
      <c r="C168" s="39"/>
      <c r="D168" s="19"/>
      <c r="E168" s="19"/>
      <c r="F168" s="48"/>
    </row>
    <row r="169" spans="3:6" s="11" customFormat="1" ht="13.5">
      <c r="C169" s="39"/>
      <c r="D169" s="19"/>
      <c r="E169" s="19"/>
      <c r="F169" s="48"/>
    </row>
    <row r="170" spans="3:6" s="11" customFormat="1" ht="13.5">
      <c r="C170" s="39"/>
      <c r="D170" s="19"/>
      <c r="E170" s="19"/>
      <c r="F170" s="48"/>
    </row>
    <row r="171" spans="3:6" s="11" customFormat="1" ht="13.5">
      <c r="C171" s="39"/>
      <c r="D171" s="19"/>
      <c r="E171" s="19"/>
      <c r="F171" s="48"/>
    </row>
    <row r="172" spans="3:6" s="11" customFormat="1" ht="13.5">
      <c r="C172" s="39"/>
      <c r="D172" s="19"/>
      <c r="E172" s="19"/>
      <c r="F172" s="48"/>
    </row>
    <row r="173" spans="3:6" s="11" customFormat="1" ht="13.5">
      <c r="C173" s="39"/>
      <c r="D173" s="19"/>
      <c r="E173" s="19"/>
      <c r="F173" s="48"/>
    </row>
    <row r="174" spans="3:6" s="11" customFormat="1" ht="13.5">
      <c r="C174" s="39"/>
      <c r="D174" s="19"/>
      <c r="E174" s="19"/>
      <c r="F174" s="48"/>
    </row>
    <row r="175" spans="3:6" s="11" customFormat="1" ht="13.5">
      <c r="C175" s="39"/>
      <c r="D175" s="19"/>
      <c r="E175" s="19"/>
      <c r="F175" s="48"/>
    </row>
    <row r="176" spans="3:6" s="11" customFormat="1" ht="13.5">
      <c r="C176" s="39"/>
      <c r="D176" s="19"/>
      <c r="E176" s="19"/>
      <c r="F176" s="48"/>
    </row>
    <row r="177" spans="3:6" s="11" customFormat="1" ht="13.5">
      <c r="C177" s="39"/>
      <c r="D177" s="19"/>
      <c r="E177" s="19"/>
      <c r="F177" s="48"/>
    </row>
    <row r="178" spans="3:6" s="11" customFormat="1" ht="13.5">
      <c r="C178" s="39"/>
      <c r="D178" s="19"/>
      <c r="E178" s="19"/>
      <c r="F178" s="48"/>
    </row>
    <row r="179" spans="3:6" s="11" customFormat="1" ht="13.5">
      <c r="C179" s="39"/>
      <c r="D179" s="19"/>
      <c r="E179" s="19"/>
      <c r="F179" s="48"/>
    </row>
    <row r="180" spans="3:6" s="11" customFormat="1" ht="13.5">
      <c r="C180" s="39"/>
      <c r="D180" s="19"/>
      <c r="E180" s="19"/>
      <c r="F180" s="48"/>
    </row>
    <row r="181" spans="3:6" s="11" customFormat="1" ht="13.5">
      <c r="C181" s="39"/>
      <c r="D181" s="19"/>
      <c r="E181" s="19"/>
      <c r="F181" s="48"/>
    </row>
    <row r="182" spans="3:6" s="11" customFormat="1" ht="13.5">
      <c r="C182" s="39"/>
      <c r="D182" s="19"/>
      <c r="E182" s="19"/>
      <c r="F182" s="48"/>
    </row>
    <row r="183" spans="3:6" s="11" customFormat="1" ht="13.5">
      <c r="C183" s="39"/>
      <c r="D183" s="19"/>
      <c r="E183" s="19"/>
      <c r="F183" s="48"/>
    </row>
    <row r="184" spans="3:6" s="11" customFormat="1" ht="13.5">
      <c r="C184" s="39"/>
      <c r="D184" s="19"/>
      <c r="E184" s="19"/>
      <c r="F184" s="48"/>
    </row>
    <row r="185" spans="3:6" s="11" customFormat="1" ht="13.5">
      <c r="C185" s="39"/>
      <c r="D185" s="19"/>
      <c r="E185" s="19"/>
      <c r="F185" s="48"/>
    </row>
    <row r="186" spans="3:6" s="11" customFormat="1" ht="13.5">
      <c r="C186" s="39"/>
      <c r="D186" s="19"/>
      <c r="E186" s="19"/>
      <c r="F186" s="48"/>
    </row>
    <row r="187" spans="3:6" s="11" customFormat="1" ht="13.5">
      <c r="C187" s="39"/>
      <c r="D187" s="19"/>
      <c r="E187" s="19"/>
      <c r="F187" s="48"/>
    </row>
    <row r="188" spans="3:6" s="11" customFormat="1" ht="13.5">
      <c r="C188" s="39"/>
      <c r="D188" s="19"/>
      <c r="E188" s="19"/>
      <c r="F188" s="48"/>
    </row>
    <row r="189" spans="3:6" s="11" customFormat="1" ht="13.5">
      <c r="C189" s="39"/>
      <c r="D189" s="19"/>
      <c r="E189" s="19"/>
      <c r="F189" s="48"/>
    </row>
    <row r="190" spans="3:6" s="11" customFormat="1" ht="13.5">
      <c r="C190" s="39"/>
      <c r="D190" s="19"/>
      <c r="E190" s="19"/>
      <c r="F190" s="48"/>
    </row>
    <row r="191" spans="3:6" s="11" customFormat="1" ht="13.5">
      <c r="C191" s="39"/>
      <c r="D191" s="19"/>
      <c r="E191" s="19"/>
      <c r="F191" s="48"/>
    </row>
    <row r="192" spans="3:6" s="11" customFormat="1" ht="13.5">
      <c r="C192" s="39"/>
      <c r="D192" s="19"/>
      <c r="E192" s="19"/>
      <c r="F192" s="48"/>
    </row>
    <row r="193" spans="3:6" s="11" customFormat="1" ht="13.5">
      <c r="C193" s="39"/>
      <c r="D193" s="19"/>
      <c r="E193" s="19"/>
      <c r="F193" s="48"/>
    </row>
    <row r="194" spans="3:6" s="11" customFormat="1" ht="13.5">
      <c r="C194" s="39"/>
      <c r="D194" s="19"/>
      <c r="E194" s="19"/>
      <c r="F194" s="48"/>
    </row>
    <row r="195" spans="3:6" s="11" customFormat="1" ht="13.5">
      <c r="C195" s="39"/>
      <c r="D195" s="19"/>
      <c r="E195" s="19"/>
      <c r="F195" s="48"/>
    </row>
    <row r="196" spans="3:6" s="11" customFormat="1" ht="13.5">
      <c r="C196" s="39"/>
      <c r="D196" s="19"/>
      <c r="E196" s="19"/>
      <c r="F196" s="48"/>
    </row>
    <row r="197" spans="3:6" s="11" customFormat="1" ht="13.5">
      <c r="C197" s="39"/>
      <c r="D197" s="19"/>
      <c r="E197" s="19"/>
      <c r="F197" s="48"/>
    </row>
    <row r="198" spans="3:6" s="11" customFormat="1" ht="13.5">
      <c r="C198" s="39"/>
      <c r="D198" s="19"/>
      <c r="E198" s="19"/>
      <c r="F198" s="48"/>
    </row>
    <row r="199" spans="3:6" s="11" customFormat="1" ht="13.5">
      <c r="C199" s="39"/>
      <c r="D199" s="19"/>
      <c r="E199" s="19"/>
      <c r="F199" s="48"/>
    </row>
    <row r="200" spans="3:6" s="11" customFormat="1" ht="13.5">
      <c r="C200" s="39"/>
      <c r="D200" s="19"/>
      <c r="E200" s="19"/>
      <c r="F200" s="48"/>
    </row>
    <row r="201" spans="3:6" s="11" customFormat="1" ht="13.5">
      <c r="C201" s="39"/>
      <c r="D201" s="19"/>
      <c r="E201" s="19"/>
      <c r="F201" s="48"/>
    </row>
    <row r="202" spans="3:6" s="11" customFormat="1" ht="13.5">
      <c r="C202" s="39"/>
      <c r="D202" s="19"/>
      <c r="E202" s="19"/>
      <c r="F202" s="48"/>
    </row>
    <row r="203" spans="3:6" s="11" customFormat="1" ht="13.5">
      <c r="C203" s="39"/>
      <c r="D203" s="19"/>
      <c r="E203" s="19"/>
      <c r="F203" s="48"/>
    </row>
    <row r="204" spans="3:6" s="11" customFormat="1" ht="13.5">
      <c r="C204" s="39"/>
      <c r="D204" s="19"/>
      <c r="E204" s="19"/>
      <c r="F204" s="48"/>
    </row>
    <row r="205" spans="3:6" s="11" customFormat="1" ht="13.5">
      <c r="C205" s="39"/>
      <c r="D205" s="19"/>
      <c r="E205" s="19"/>
      <c r="F205" s="48"/>
    </row>
    <row r="206" spans="3:6" s="11" customFormat="1" ht="13.5">
      <c r="C206" s="39"/>
      <c r="D206" s="19"/>
      <c r="E206" s="19"/>
      <c r="F206" s="48"/>
    </row>
    <row r="207" spans="3:6" s="11" customFormat="1" ht="13.5">
      <c r="C207" s="39"/>
      <c r="D207" s="19"/>
      <c r="E207" s="19"/>
      <c r="F207" s="48"/>
    </row>
    <row r="208" spans="3:6" s="11" customFormat="1" ht="13.5">
      <c r="C208" s="39"/>
      <c r="D208" s="19"/>
      <c r="E208" s="19"/>
      <c r="F208" s="48"/>
    </row>
    <row r="209" spans="3:6" s="11" customFormat="1" ht="13.5">
      <c r="C209" s="39"/>
      <c r="D209" s="19"/>
      <c r="E209" s="19"/>
      <c r="F209" s="48"/>
    </row>
    <row r="210" spans="3:6" s="11" customFormat="1" ht="13.5">
      <c r="C210" s="39"/>
      <c r="D210" s="19"/>
      <c r="E210" s="19"/>
      <c r="F210" s="48"/>
    </row>
    <row r="211" spans="3:6" s="11" customFormat="1" ht="13.5">
      <c r="C211" s="39"/>
      <c r="D211" s="19"/>
      <c r="E211" s="19"/>
      <c r="F211" s="48"/>
    </row>
    <row r="212" spans="3:6" s="11" customFormat="1" ht="13.5">
      <c r="C212" s="39"/>
      <c r="D212" s="19"/>
      <c r="E212" s="19"/>
      <c r="F212" s="48"/>
    </row>
    <row r="213" spans="3:6" s="11" customFormat="1" ht="13.5">
      <c r="C213" s="39"/>
      <c r="D213" s="19"/>
      <c r="E213" s="19"/>
      <c r="F213" s="48"/>
    </row>
    <row r="214" spans="3:6" s="11" customFormat="1" ht="13.5">
      <c r="C214" s="39"/>
      <c r="D214" s="19"/>
      <c r="E214" s="19"/>
      <c r="F214" s="48"/>
    </row>
    <row r="215" spans="3:6" s="11" customFormat="1" ht="13.5">
      <c r="C215" s="39"/>
      <c r="D215" s="19"/>
      <c r="E215" s="19"/>
      <c r="F215" s="48"/>
    </row>
    <row r="216" spans="3:6" s="11" customFormat="1" ht="13.5">
      <c r="C216" s="39"/>
      <c r="D216" s="19"/>
      <c r="E216" s="19"/>
      <c r="F216" s="48"/>
    </row>
    <row r="217" spans="3:6" s="11" customFormat="1" ht="13.5">
      <c r="C217" s="39"/>
      <c r="D217" s="19"/>
      <c r="E217" s="19"/>
      <c r="F217" s="48"/>
    </row>
    <row r="218" spans="3:6" s="11" customFormat="1" ht="13.5">
      <c r="C218" s="39"/>
      <c r="D218" s="19"/>
      <c r="E218" s="19"/>
      <c r="F218" s="48"/>
    </row>
    <row r="219" spans="3:6" s="11" customFormat="1" ht="13.5">
      <c r="C219" s="39"/>
      <c r="D219" s="19"/>
      <c r="E219" s="19"/>
      <c r="F219" s="48"/>
    </row>
    <row r="220" spans="3:6" s="11" customFormat="1" ht="13.5">
      <c r="C220" s="39"/>
      <c r="D220" s="19"/>
      <c r="E220" s="19"/>
      <c r="F220" s="48"/>
    </row>
    <row r="221" spans="3:6" s="11" customFormat="1" ht="13.5">
      <c r="C221" s="39"/>
      <c r="D221" s="19"/>
      <c r="E221" s="19"/>
      <c r="F221" s="48"/>
    </row>
    <row r="222" spans="3:6" s="11" customFormat="1" ht="13.5">
      <c r="C222" s="39"/>
      <c r="D222" s="19"/>
      <c r="E222" s="19"/>
      <c r="F222" s="48"/>
    </row>
    <row r="223" spans="3:6" s="11" customFormat="1" ht="13.5">
      <c r="C223" s="39"/>
      <c r="D223" s="19"/>
      <c r="E223" s="19"/>
      <c r="F223" s="48"/>
    </row>
    <row r="224" spans="3:6" s="11" customFormat="1" ht="13.5">
      <c r="C224" s="39"/>
      <c r="D224" s="19"/>
      <c r="E224" s="19"/>
      <c r="F224" s="48"/>
    </row>
    <row r="225" spans="3:6" s="11" customFormat="1" ht="13.5">
      <c r="C225" s="39"/>
      <c r="D225" s="19"/>
      <c r="E225" s="19"/>
      <c r="F225" s="48"/>
    </row>
    <row r="226" spans="3:6" s="11" customFormat="1" ht="13.5">
      <c r="C226" s="39"/>
      <c r="D226" s="19"/>
      <c r="E226" s="19"/>
      <c r="F226" s="48"/>
    </row>
    <row r="227" spans="3:6" s="11" customFormat="1" ht="13.5">
      <c r="C227" s="39"/>
      <c r="D227" s="19"/>
      <c r="E227" s="19"/>
      <c r="F227" s="48"/>
    </row>
    <row r="228" spans="3:6" s="11" customFormat="1" ht="13.5">
      <c r="C228" s="39"/>
      <c r="D228" s="19"/>
      <c r="E228" s="19"/>
      <c r="F228" s="48"/>
    </row>
    <row r="229" spans="3:6" s="11" customFormat="1" ht="13.5">
      <c r="C229" s="39"/>
      <c r="D229" s="19"/>
      <c r="E229" s="19"/>
      <c r="F229" s="48"/>
    </row>
    <row r="230" spans="3:6" s="11" customFormat="1" ht="13.5">
      <c r="C230" s="39"/>
      <c r="D230" s="19"/>
      <c r="E230" s="19"/>
      <c r="F230" s="48"/>
    </row>
    <row r="231" spans="3:6" s="11" customFormat="1" ht="13.5">
      <c r="C231" s="39"/>
      <c r="D231" s="19"/>
      <c r="E231" s="19"/>
      <c r="F231" s="48"/>
    </row>
    <row r="232" spans="3:6" s="11" customFormat="1" ht="13.5">
      <c r="C232" s="39"/>
      <c r="D232" s="19"/>
      <c r="E232" s="19"/>
      <c r="F232" s="48"/>
    </row>
    <row r="233" spans="3:6" s="11" customFormat="1" ht="13.5">
      <c r="C233" s="39"/>
      <c r="D233" s="19"/>
      <c r="E233" s="19"/>
      <c r="F233" s="48"/>
    </row>
    <row r="234" spans="3:6" s="11" customFormat="1" ht="13.5">
      <c r="C234" s="39"/>
      <c r="D234" s="19"/>
      <c r="E234" s="19"/>
      <c r="F234" s="48"/>
    </row>
    <row r="235" spans="3:6" s="11" customFormat="1" ht="13.5">
      <c r="C235" s="39"/>
      <c r="D235" s="19"/>
      <c r="E235" s="19"/>
      <c r="F235" s="48"/>
    </row>
    <row r="236" spans="3:6" s="11" customFormat="1" ht="13.5">
      <c r="C236" s="39"/>
      <c r="D236" s="19"/>
      <c r="E236" s="19"/>
      <c r="F236" s="48"/>
    </row>
    <row r="237" spans="3:6" s="11" customFormat="1" ht="13.5">
      <c r="C237" s="39"/>
      <c r="D237" s="19"/>
      <c r="E237" s="19"/>
      <c r="F237" s="48"/>
    </row>
    <row r="238" spans="3:6" s="11" customFormat="1" ht="13.5">
      <c r="C238" s="39"/>
      <c r="D238" s="19"/>
      <c r="E238" s="19"/>
      <c r="F238" s="48"/>
    </row>
    <row r="239" spans="3:6" s="11" customFormat="1" ht="13.5">
      <c r="C239" s="39"/>
      <c r="D239" s="19"/>
      <c r="E239" s="19"/>
      <c r="F239" s="48"/>
    </row>
    <row r="240" spans="3:6" s="11" customFormat="1" ht="13.5">
      <c r="C240" s="39"/>
      <c r="D240" s="19"/>
      <c r="E240" s="19"/>
      <c r="F240" s="48"/>
    </row>
    <row r="241" spans="3:6" s="11" customFormat="1" ht="13.5">
      <c r="C241" s="39"/>
      <c r="D241" s="19"/>
      <c r="E241" s="19"/>
      <c r="F241" s="48"/>
    </row>
    <row r="242" spans="3:6" s="11" customFormat="1" ht="13.5">
      <c r="C242" s="39"/>
      <c r="D242" s="19"/>
      <c r="E242" s="19"/>
      <c r="F242" s="48"/>
    </row>
    <row r="243" spans="3:6" s="11" customFormat="1" ht="13.5">
      <c r="C243" s="39"/>
      <c r="D243" s="19"/>
      <c r="E243" s="19"/>
      <c r="F243" s="48"/>
    </row>
    <row r="244" spans="3:6" s="11" customFormat="1" ht="13.5">
      <c r="C244" s="39"/>
      <c r="D244" s="19"/>
      <c r="E244" s="19"/>
      <c r="F244" s="48"/>
    </row>
    <row r="245" spans="3:6" s="11" customFormat="1" ht="13.5">
      <c r="C245" s="39"/>
      <c r="D245" s="19"/>
      <c r="E245" s="19"/>
      <c r="F245" s="48"/>
    </row>
    <row r="246" spans="3:6" s="11" customFormat="1" ht="13.5">
      <c r="C246" s="39"/>
      <c r="D246" s="19"/>
      <c r="E246" s="19"/>
      <c r="F246" s="48"/>
    </row>
    <row r="247" spans="3:6" s="11" customFormat="1" ht="13.5">
      <c r="C247" s="39"/>
      <c r="D247" s="19"/>
      <c r="E247" s="19"/>
      <c r="F247" s="48"/>
    </row>
    <row r="248" spans="3:6" s="11" customFormat="1" ht="13.5">
      <c r="C248" s="39"/>
      <c r="D248" s="19"/>
      <c r="E248" s="19"/>
      <c r="F248" s="48"/>
    </row>
    <row r="249" spans="3:6" s="11" customFormat="1" ht="13.5">
      <c r="C249" s="39"/>
      <c r="D249" s="19"/>
      <c r="E249" s="19"/>
      <c r="F249" s="48"/>
    </row>
    <row r="250" spans="3:6" s="11" customFormat="1" ht="13.5">
      <c r="C250" s="39"/>
      <c r="D250" s="19"/>
      <c r="E250" s="19"/>
      <c r="F250" s="48"/>
    </row>
    <row r="251" spans="3:6" s="11" customFormat="1" ht="13.5">
      <c r="C251" s="39"/>
      <c r="D251" s="19"/>
      <c r="E251" s="19"/>
      <c r="F251" s="48"/>
    </row>
    <row r="252" spans="3:6" s="11" customFormat="1" ht="13.5">
      <c r="C252" s="39"/>
      <c r="D252" s="19"/>
      <c r="E252" s="19"/>
      <c r="F252" s="48"/>
    </row>
    <row r="253" spans="3:6" s="11" customFormat="1" ht="13.5">
      <c r="C253" s="39"/>
      <c r="D253" s="19"/>
      <c r="E253" s="19"/>
      <c r="F253" s="48"/>
    </row>
    <row r="254" spans="3:6" s="11" customFormat="1" ht="13.5">
      <c r="C254" s="39"/>
      <c r="D254" s="19"/>
      <c r="E254" s="19"/>
      <c r="F254" s="48"/>
    </row>
    <row r="255" spans="3:6" s="11" customFormat="1" ht="13.5">
      <c r="C255" s="39"/>
      <c r="D255" s="19"/>
      <c r="E255" s="19"/>
      <c r="F255" s="48"/>
    </row>
    <row r="256" spans="3:6" s="11" customFormat="1" ht="13.5">
      <c r="C256" s="39"/>
      <c r="D256" s="19"/>
      <c r="E256" s="19"/>
      <c r="F256" s="48"/>
    </row>
    <row r="257" spans="3:6" s="11" customFormat="1" ht="13.5">
      <c r="C257" s="39"/>
      <c r="D257" s="19"/>
      <c r="E257" s="19"/>
      <c r="F257" s="48"/>
    </row>
    <row r="258" spans="3:6" s="11" customFormat="1" ht="13.5">
      <c r="C258" s="39"/>
      <c r="D258" s="19"/>
      <c r="E258" s="19"/>
      <c r="F258" s="48"/>
    </row>
    <row r="259" spans="3:6" s="11" customFormat="1" ht="13.5">
      <c r="C259" s="39"/>
      <c r="D259" s="19"/>
      <c r="E259" s="19"/>
      <c r="F259" s="48"/>
    </row>
    <row r="260" spans="3:6" s="11" customFormat="1" ht="13.5">
      <c r="C260" s="39"/>
      <c r="D260" s="19"/>
      <c r="E260" s="19"/>
      <c r="F260" s="48"/>
    </row>
    <row r="261" spans="3:6" s="11" customFormat="1" ht="13.5">
      <c r="C261" s="39"/>
      <c r="D261" s="19"/>
      <c r="E261" s="19"/>
      <c r="F261" s="48"/>
    </row>
    <row r="262" spans="3:6" s="11" customFormat="1" ht="13.5">
      <c r="C262" s="39"/>
      <c r="D262" s="19"/>
      <c r="E262" s="19"/>
      <c r="F262" s="48"/>
    </row>
    <row r="263" spans="3:6" s="11" customFormat="1" ht="13.5">
      <c r="C263" s="39"/>
      <c r="D263" s="19"/>
      <c r="E263" s="19"/>
      <c r="F263" s="48"/>
    </row>
    <row r="264" spans="3:6" s="11" customFormat="1" ht="13.5">
      <c r="C264" s="39"/>
      <c r="D264" s="19"/>
      <c r="E264" s="19"/>
      <c r="F264" s="48"/>
    </row>
    <row r="265" spans="3:6" s="11" customFormat="1" ht="13.5">
      <c r="C265" s="39"/>
      <c r="D265" s="19"/>
      <c r="E265" s="19"/>
      <c r="F265" s="48"/>
    </row>
    <row r="266" spans="3:6" s="11" customFormat="1" ht="13.5">
      <c r="C266" s="39"/>
      <c r="D266" s="19"/>
      <c r="E266" s="19"/>
      <c r="F266" s="48"/>
    </row>
    <row r="267" spans="3:6" s="11" customFormat="1" ht="13.5">
      <c r="C267" s="39"/>
      <c r="D267" s="19"/>
      <c r="E267" s="19"/>
      <c r="F267" s="48"/>
    </row>
    <row r="268" spans="3:6" s="11" customFormat="1" ht="13.5">
      <c r="C268" s="39"/>
      <c r="D268" s="19"/>
      <c r="E268" s="19"/>
      <c r="F268" s="48"/>
    </row>
    <row r="269" spans="3:6" s="11" customFormat="1" ht="13.5">
      <c r="C269" s="39"/>
      <c r="D269" s="19"/>
      <c r="E269" s="19"/>
      <c r="F269" s="48"/>
    </row>
    <row r="270" spans="3:6" s="11" customFormat="1" ht="13.5">
      <c r="C270" s="39"/>
      <c r="D270" s="19"/>
      <c r="E270" s="19"/>
      <c r="F270" s="48"/>
    </row>
    <row r="271" spans="3:6" s="11" customFormat="1" ht="13.5">
      <c r="C271" s="39"/>
      <c r="D271" s="19"/>
      <c r="E271" s="19"/>
      <c r="F271" s="48"/>
    </row>
    <row r="272" spans="3:6" s="11" customFormat="1" ht="13.5">
      <c r="C272" s="39"/>
      <c r="D272" s="19"/>
      <c r="E272" s="19"/>
      <c r="F272" s="48"/>
    </row>
    <row r="273" spans="3:6" s="11" customFormat="1" ht="13.5">
      <c r="C273" s="39"/>
      <c r="D273" s="19"/>
      <c r="E273" s="19"/>
      <c r="F273" s="48"/>
    </row>
    <row r="274" spans="3:6" s="11" customFormat="1" ht="13.5">
      <c r="C274" s="39"/>
      <c r="D274" s="19"/>
      <c r="E274" s="19"/>
      <c r="F274" s="48"/>
    </row>
    <row r="275" spans="3:6" s="11" customFormat="1" ht="13.5">
      <c r="C275" s="39"/>
      <c r="D275" s="19"/>
      <c r="E275" s="19"/>
      <c r="F275" s="48"/>
    </row>
    <row r="276" spans="3:6" s="11" customFormat="1" ht="13.5">
      <c r="C276" s="39"/>
      <c r="D276" s="19"/>
      <c r="E276" s="19"/>
      <c r="F276" s="48"/>
    </row>
    <row r="277" spans="3:6" s="11" customFormat="1" ht="13.5">
      <c r="C277" s="39"/>
      <c r="D277" s="19"/>
      <c r="E277" s="19"/>
      <c r="F277" s="48"/>
    </row>
    <row r="278" spans="3:6" s="11" customFormat="1" ht="13.5">
      <c r="C278" s="39"/>
      <c r="D278" s="19"/>
      <c r="E278" s="19"/>
      <c r="F278" s="48"/>
    </row>
    <row r="279" spans="3:6" s="11" customFormat="1" ht="13.5">
      <c r="C279" s="39"/>
      <c r="D279" s="19"/>
      <c r="E279" s="19"/>
      <c r="F279" s="48"/>
    </row>
    <row r="280" spans="3:6" s="11" customFormat="1" ht="13.5">
      <c r="C280" s="39"/>
      <c r="D280" s="19"/>
      <c r="E280" s="19"/>
      <c r="F280" s="48"/>
    </row>
    <row r="281" spans="3:6" s="11" customFormat="1" ht="13.5">
      <c r="C281" s="39"/>
      <c r="D281" s="19"/>
      <c r="E281" s="19"/>
      <c r="F281" s="48"/>
    </row>
    <row r="282" spans="3:6" s="11" customFormat="1" ht="13.5">
      <c r="C282" s="39"/>
      <c r="D282" s="19"/>
      <c r="E282" s="19"/>
      <c r="F282" s="48"/>
    </row>
    <row r="283" spans="3:6" s="11" customFormat="1" ht="13.5">
      <c r="C283" s="39"/>
      <c r="D283" s="19"/>
      <c r="E283" s="19"/>
      <c r="F283" s="48"/>
    </row>
    <row r="284" spans="3:6" s="11" customFormat="1" ht="13.5">
      <c r="C284" s="39"/>
      <c r="D284" s="19"/>
      <c r="E284" s="19"/>
      <c r="F284" s="48"/>
    </row>
    <row r="285" spans="3:6" s="11" customFormat="1" ht="13.5">
      <c r="C285" s="39"/>
      <c r="D285" s="19"/>
      <c r="E285" s="19"/>
      <c r="F285" s="48"/>
    </row>
    <row r="286" spans="3:6" s="11" customFormat="1" ht="13.5">
      <c r="C286" s="39"/>
      <c r="D286" s="19"/>
      <c r="E286" s="19"/>
      <c r="F286" s="48"/>
    </row>
    <row r="287" spans="3:6" s="11" customFormat="1" ht="13.5">
      <c r="C287" s="39"/>
      <c r="D287" s="19"/>
      <c r="E287" s="19"/>
      <c r="F287" s="48"/>
    </row>
    <row r="288" spans="3:6" s="11" customFormat="1" ht="13.5">
      <c r="C288" s="39"/>
      <c r="D288" s="19"/>
      <c r="E288" s="19"/>
      <c r="F288" s="48"/>
    </row>
    <row r="289" spans="3:6" s="11" customFormat="1" ht="13.5">
      <c r="C289" s="39"/>
      <c r="D289" s="19"/>
      <c r="E289" s="19"/>
      <c r="F289" s="48"/>
    </row>
    <row r="290" spans="3:6" s="11" customFormat="1" ht="13.5">
      <c r="C290" s="39"/>
      <c r="D290" s="19"/>
      <c r="E290" s="19"/>
      <c r="F290" s="48"/>
    </row>
    <row r="291" spans="3:6" s="11" customFormat="1" ht="13.5">
      <c r="C291" s="39"/>
      <c r="D291" s="19"/>
      <c r="E291" s="19"/>
      <c r="F291" s="48"/>
    </row>
    <row r="292" spans="3:6" s="11" customFormat="1" ht="13.5">
      <c r="C292" s="39"/>
      <c r="D292" s="19"/>
      <c r="E292" s="19"/>
      <c r="F292" s="48"/>
    </row>
    <row r="293" spans="3:6" s="11" customFormat="1" ht="13.5">
      <c r="C293" s="39"/>
      <c r="D293" s="19"/>
      <c r="E293" s="19"/>
      <c r="F293" s="48"/>
    </row>
    <row r="294" spans="3:6" s="11" customFormat="1" ht="13.5">
      <c r="C294" s="39"/>
      <c r="D294" s="19"/>
      <c r="E294" s="19"/>
      <c r="F294" s="48"/>
    </row>
    <row r="295" spans="3:6" s="11" customFormat="1" ht="13.5">
      <c r="C295" s="39"/>
      <c r="D295" s="19"/>
      <c r="E295" s="19"/>
      <c r="F295" s="48"/>
    </row>
    <row r="296" spans="3:6" s="11" customFormat="1" ht="13.5">
      <c r="C296" s="39"/>
      <c r="D296" s="19"/>
      <c r="E296" s="19"/>
      <c r="F296" s="48"/>
    </row>
    <row r="297" spans="3:6" ht="13.5">
      <c r="C297" s="39"/>
      <c r="F297" s="48"/>
    </row>
    <row r="298" spans="3:6" ht="13.5">
      <c r="C298" s="39"/>
      <c r="F298" s="48"/>
    </row>
    <row r="299" spans="3:6" ht="13.5">
      <c r="C299" s="39"/>
      <c r="F299" s="48"/>
    </row>
    <row r="300" spans="3:6" ht="13.5">
      <c r="C300" s="39"/>
      <c r="F300" s="48"/>
    </row>
    <row r="301" spans="3:6" ht="13.5">
      <c r="C301" s="39"/>
      <c r="F301" s="48"/>
    </row>
    <row r="302" spans="3:6" ht="13.5">
      <c r="C302" s="39"/>
      <c r="F302" s="48"/>
    </row>
    <row r="303" spans="3:6" ht="13.5">
      <c r="C303" s="39"/>
      <c r="F303" s="48"/>
    </row>
    <row r="304" spans="3:6" ht="13.5">
      <c r="C304" s="39"/>
      <c r="F304" s="48"/>
    </row>
    <row r="305" spans="3:6" ht="13.5">
      <c r="C305" s="39"/>
      <c r="F305" s="48"/>
    </row>
    <row r="306" spans="3:6" ht="13.5">
      <c r="C306" s="39"/>
      <c r="F306" s="48"/>
    </row>
    <row r="307" spans="3:6" ht="13.5">
      <c r="C307" s="39"/>
      <c r="F307" s="48"/>
    </row>
    <row r="308" spans="3:6" ht="13.5">
      <c r="C308" s="39"/>
      <c r="F308" s="48"/>
    </row>
    <row r="309" spans="3:6" ht="13.5">
      <c r="C309" s="39"/>
      <c r="F309" s="48"/>
    </row>
    <row r="310" spans="3:6" ht="13.5">
      <c r="C310" s="39"/>
      <c r="F310" s="48"/>
    </row>
    <row r="311" spans="3:6" ht="13.5">
      <c r="C311" s="39"/>
      <c r="F311" s="48"/>
    </row>
    <row r="312" spans="3:6" ht="13.5">
      <c r="C312" s="39"/>
      <c r="F312" s="48"/>
    </row>
    <row r="313" spans="3:6" ht="13.5">
      <c r="C313" s="39"/>
      <c r="F313" s="48"/>
    </row>
    <row r="314" spans="3:6" ht="13.5">
      <c r="C314" s="39"/>
      <c r="F314" s="48"/>
    </row>
    <row r="315" spans="3:6" ht="13.5">
      <c r="C315" s="39"/>
      <c r="F315" s="48"/>
    </row>
    <row r="316" spans="3:6" ht="13.5">
      <c r="C316" s="39"/>
      <c r="F316" s="48"/>
    </row>
    <row r="317" spans="3:6" ht="13.5">
      <c r="C317" s="39"/>
      <c r="F317" s="48"/>
    </row>
    <row r="318" spans="3:6" ht="13.5">
      <c r="C318" s="39"/>
      <c r="F318" s="48"/>
    </row>
    <row r="319" spans="3:6" ht="13.5">
      <c r="C319" s="39"/>
      <c r="F319" s="48"/>
    </row>
    <row r="320" spans="3:6" ht="13.5">
      <c r="C320" s="39"/>
      <c r="F320" s="48"/>
    </row>
    <row r="321" spans="3:6" ht="13.5">
      <c r="C321" s="39"/>
      <c r="F321" s="48"/>
    </row>
    <row r="322" spans="3:6" ht="13.5">
      <c r="C322" s="39"/>
      <c r="F322" s="48"/>
    </row>
    <row r="323" spans="3:6" ht="13.5">
      <c r="C323" s="39"/>
      <c r="F323" s="48"/>
    </row>
    <row r="324" spans="3:6" ht="13.5">
      <c r="C324" s="39"/>
      <c r="F324" s="48"/>
    </row>
    <row r="325" spans="3:6" ht="13.5">
      <c r="C325" s="39"/>
      <c r="F325" s="48"/>
    </row>
    <row r="326" spans="3:6" ht="13.5">
      <c r="C326" s="39"/>
      <c r="F326" s="48"/>
    </row>
    <row r="327" spans="3:6" ht="13.5">
      <c r="C327" s="39"/>
      <c r="F327" s="48"/>
    </row>
    <row r="328" spans="3:6" ht="13.5">
      <c r="C328" s="39"/>
      <c r="F328" s="48"/>
    </row>
    <row r="329" spans="3:6" ht="13.5">
      <c r="C329" s="39"/>
      <c r="F329" s="48"/>
    </row>
    <row r="330" spans="3:6" ht="13.5">
      <c r="C330" s="39"/>
      <c r="F330" s="48"/>
    </row>
    <row r="331" spans="3:6" ht="13.5">
      <c r="C331" s="39"/>
      <c r="F331" s="48"/>
    </row>
    <row r="332" spans="3:6" ht="13.5">
      <c r="C332" s="39"/>
      <c r="F332" s="48"/>
    </row>
    <row r="333" spans="3:6" ht="13.5">
      <c r="C333" s="39"/>
      <c r="F333" s="48"/>
    </row>
    <row r="334" spans="3:6" ht="13.5">
      <c r="C334" s="39"/>
      <c r="F334" s="48"/>
    </row>
    <row r="335" spans="3:6" ht="13.5">
      <c r="C335" s="39"/>
      <c r="F335" s="48"/>
    </row>
    <row r="336" spans="3:6" ht="13.5">
      <c r="C336" s="39"/>
      <c r="F336" s="48"/>
    </row>
    <row r="337" spans="3:6" ht="13.5">
      <c r="C337" s="39"/>
      <c r="F337" s="48"/>
    </row>
    <row r="338" spans="3:6" ht="13.5">
      <c r="C338" s="39"/>
      <c r="F338" s="48"/>
    </row>
    <row r="339" spans="3:6" ht="13.5">
      <c r="C339" s="39"/>
      <c r="F339" s="48"/>
    </row>
    <row r="340" spans="3:6" ht="13.5">
      <c r="C340" s="39"/>
      <c r="F340" s="48"/>
    </row>
    <row r="341" spans="3:6" ht="13.5">
      <c r="C341" s="39"/>
      <c r="F341" s="48"/>
    </row>
    <row r="342" spans="3:6" ht="13.5">
      <c r="C342" s="39"/>
      <c r="F342" s="48"/>
    </row>
    <row r="343" spans="3:6" ht="13.5">
      <c r="C343" s="39"/>
      <c r="F343" s="48"/>
    </row>
    <row r="344" spans="3:6" ht="13.5">
      <c r="C344" s="39"/>
      <c r="F344" s="48"/>
    </row>
    <row r="345" spans="3:6" ht="13.5">
      <c r="C345" s="39"/>
      <c r="F345" s="48"/>
    </row>
    <row r="346" spans="3:6" ht="13.5">
      <c r="C346" s="39"/>
      <c r="F346" s="48"/>
    </row>
    <row r="347" spans="3:6" ht="13.5">
      <c r="C347" s="39"/>
      <c r="F347" s="48"/>
    </row>
    <row r="348" spans="3:6" ht="13.5">
      <c r="C348" s="39"/>
      <c r="F348" s="48"/>
    </row>
    <row r="349" spans="3:6" ht="13.5">
      <c r="C349" s="39"/>
      <c r="F349" s="48"/>
    </row>
    <row r="350" spans="3:6" ht="13.5">
      <c r="C350" s="39"/>
      <c r="F350" s="48"/>
    </row>
    <row r="351" spans="3:6" ht="13.5">
      <c r="C351" s="39"/>
      <c r="F351" s="48"/>
    </row>
    <row r="352" spans="3:6" ht="13.5">
      <c r="C352" s="39"/>
      <c r="F352" s="48"/>
    </row>
    <row r="353" spans="3:6" ht="13.5">
      <c r="C353" s="39"/>
      <c r="F353" s="48"/>
    </row>
    <row r="354" spans="3:6" ht="13.5">
      <c r="C354" s="39"/>
      <c r="F354" s="48"/>
    </row>
    <row r="355" spans="3:6" ht="13.5">
      <c r="C355" s="39"/>
      <c r="F355" s="48"/>
    </row>
    <row r="356" spans="3:6" ht="13.5">
      <c r="C356" s="39"/>
      <c r="F356" s="48"/>
    </row>
    <row r="357" spans="3:6" ht="13.5">
      <c r="C357" s="39"/>
      <c r="F357" s="48"/>
    </row>
    <row r="358" spans="3:6" ht="13.5">
      <c r="C358" s="39"/>
      <c r="F358" s="48"/>
    </row>
    <row r="359" spans="3:6" ht="13.5">
      <c r="C359" s="39"/>
      <c r="F359" s="48"/>
    </row>
    <row r="360" spans="3:6" ht="13.5">
      <c r="C360" s="39"/>
      <c r="F360" s="48"/>
    </row>
    <row r="361" spans="3:6" ht="13.5">
      <c r="C361" s="39"/>
      <c r="F361" s="48"/>
    </row>
    <row r="362" spans="3:6" ht="13.5">
      <c r="C362" s="39"/>
      <c r="F362" s="48"/>
    </row>
    <row r="363" spans="3:6" ht="13.5">
      <c r="C363" s="39"/>
      <c r="F363" s="48"/>
    </row>
    <row r="364" spans="3:6" ht="13.5">
      <c r="C364" s="39"/>
      <c r="F364" s="48"/>
    </row>
    <row r="365" spans="3:6" ht="13.5">
      <c r="C365" s="39"/>
      <c r="F365" s="48"/>
    </row>
    <row r="366" spans="3:6" ht="13.5">
      <c r="C366" s="39"/>
      <c r="F366" s="48"/>
    </row>
    <row r="367" spans="3:6" ht="13.5">
      <c r="C367" s="39"/>
      <c r="F367" s="48"/>
    </row>
    <row r="368" spans="3:6" ht="13.5">
      <c r="C368" s="39"/>
      <c r="F368" s="48"/>
    </row>
    <row r="369" spans="3:6" ht="13.5">
      <c r="C369" s="39"/>
      <c r="F369" s="48"/>
    </row>
    <row r="370" spans="3:6" ht="13.5">
      <c r="C370" s="39"/>
      <c r="F370" s="48"/>
    </row>
    <row r="371" spans="3:6" ht="13.5">
      <c r="C371" s="39"/>
      <c r="F371" s="48"/>
    </row>
    <row r="372" spans="3:6" ht="13.5">
      <c r="C372" s="39"/>
      <c r="F372" s="48"/>
    </row>
    <row r="373" spans="3:6" ht="13.5">
      <c r="C373" s="39"/>
      <c r="F373" s="48"/>
    </row>
    <row r="374" spans="3:6" ht="13.5">
      <c r="C374" s="39"/>
      <c r="F374" s="48"/>
    </row>
    <row r="375" spans="3:6" ht="13.5">
      <c r="C375" s="39"/>
      <c r="F375" s="48"/>
    </row>
    <row r="376" spans="3:6" ht="13.5">
      <c r="C376" s="39"/>
      <c r="F376" s="48"/>
    </row>
    <row r="377" spans="3:6" ht="13.5">
      <c r="C377" s="39"/>
      <c r="F377" s="48"/>
    </row>
    <row r="378" spans="3:6" ht="13.5">
      <c r="C378" s="39"/>
      <c r="F378" s="48"/>
    </row>
    <row r="379" spans="3:6" ht="13.5">
      <c r="C379" s="39"/>
      <c r="F379" s="48"/>
    </row>
    <row r="380" spans="3:6" ht="13.5">
      <c r="C380" s="39"/>
      <c r="F380" s="48"/>
    </row>
    <row r="381" spans="3:6" ht="13.5">
      <c r="C381" s="39"/>
      <c r="F381" s="48"/>
    </row>
    <row r="382" spans="3:6" ht="13.5">
      <c r="C382" s="39"/>
      <c r="F382" s="48"/>
    </row>
    <row r="383" spans="3:6" ht="13.5">
      <c r="C383" s="39"/>
      <c r="F383" s="48"/>
    </row>
    <row r="384" spans="3:6" ht="13.5">
      <c r="C384" s="39"/>
      <c r="F384" s="48"/>
    </row>
    <row r="385" spans="3:6" ht="13.5">
      <c r="C385" s="39"/>
      <c r="F385" s="48"/>
    </row>
    <row r="386" spans="3:6" ht="13.5">
      <c r="C386" s="39"/>
      <c r="F386" s="48"/>
    </row>
    <row r="387" spans="3:6" ht="13.5">
      <c r="C387" s="39"/>
      <c r="F387" s="48"/>
    </row>
    <row r="388" spans="3:6" ht="13.5">
      <c r="C388" s="39"/>
      <c r="F388" s="48"/>
    </row>
    <row r="389" spans="3:6" ht="13.5">
      <c r="C389" s="39"/>
      <c r="F389" s="48"/>
    </row>
    <row r="390" spans="3:6" ht="13.5">
      <c r="C390" s="39"/>
      <c r="F390" s="48"/>
    </row>
    <row r="391" spans="3:6" ht="13.5">
      <c r="C391" s="39"/>
      <c r="F391" s="48"/>
    </row>
    <row r="392" spans="3:6" ht="13.5">
      <c r="C392" s="39"/>
      <c r="F392" s="48"/>
    </row>
    <row r="393" spans="3:6" ht="13.5">
      <c r="C393" s="39"/>
      <c r="F393" s="48"/>
    </row>
    <row r="394" spans="3:6" ht="13.5">
      <c r="C394" s="39"/>
      <c r="F394" s="48"/>
    </row>
    <row r="395" spans="3:6" ht="13.5">
      <c r="C395" s="39"/>
      <c r="F395" s="48"/>
    </row>
    <row r="396" spans="3:6" ht="13.5">
      <c r="C396" s="39"/>
      <c r="F396" s="48"/>
    </row>
    <row r="397" spans="3:6" ht="13.5">
      <c r="C397" s="39"/>
      <c r="F397" s="48"/>
    </row>
    <row r="398" spans="3:6" ht="13.5">
      <c r="C398" s="39"/>
      <c r="F398" s="48"/>
    </row>
    <row r="399" spans="3:6" ht="13.5">
      <c r="C399" s="39"/>
      <c r="F399" s="48"/>
    </row>
    <row r="400" spans="3:6" ht="13.5">
      <c r="C400" s="39"/>
      <c r="F400" s="48"/>
    </row>
    <row r="401" spans="3:6" ht="13.5">
      <c r="C401" s="39"/>
      <c r="F401" s="48"/>
    </row>
    <row r="402" spans="3:6" ht="13.5">
      <c r="C402" s="39"/>
      <c r="F402" s="48"/>
    </row>
    <row r="403" spans="3:6" ht="13.5">
      <c r="C403" s="39"/>
      <c r="F403" s="48"/>
    </row>
    <row r="404" spans="3:6" ht="13.5">
      <c r="C404" s="39"/>
      <c r="F404" s="48"/>
    </row>
    <row r="405" spans="3:6" ht="13.5">
      <c r="C405" s="39"/>
      <c r="F405" s="48"/>
    </row>
    <row r="406" spans="3:6" ht="13.5">
      <c r="C406" s="39"/>
      <c r="F406" s="48"/>
    </row>
    <row r="407" spans="3:6" ht="13.5">
      <c r="C407" s="39"/>
      <c r="F407" s="48"/>
    </row>
    <row r="408" spans="3:6" ht="13.5">
      <c r="C408" s="39"/>
      <c r="F408" s="48"/>
    </row>
    <row r="409" spans="3:6" ht="13.5">
      <c r="C409" s="39"/>
      <c r="F409" s="48"/>
    </row>
    <row r="410" spans="3:6" ht="13.5">
      <c r="C410" s="39"/>
      <c r="F410" s="48"/>
    </row>
    <row r="411" spans="3:6" ht="13.5">
      <c r="C411" s="39"/>
      <c r="F411" s="48"/>
    </row>
    <row r="412" spans="3:6" ht="13.5">
      <c r="C412" s="39"/>
      <c r="F412" s="48"/>
    </row>
    <row r="413" spans="3:6" ht="13.5">
      <c r="C413" s="39"/>
      <c r="F413" s="48"/>
    </row>
    <row r="414" spans="3:6" ht="13.5">
      <c r="C414" s="39"/>
      <c r="F414" s="48"/>
    </row>
    <row r="415" spans="3:6" ht="13.5">
      <c r="C415" s="39"/>
      <c r="F415" s="48"/>
    </row>
    <row r="416" spans="3:6" ht="13.5">
      <c r="C416" s="39"/>
      <c r="F416" s="48"/>
    </row>
    <row r="417" spans="3:6" ht="13.5">
      <c r="C417" s="39"/>
      <c r="F417" s="48"/>
    </row>
    <row r="418" spans="3:6" ht="13.5">
      <c r="C418" s="39"/>
      <c r="F418" s="48"/>
    </row>
    <row r="419" spans="3:6" ht="13.5">
      <c r="C419" s="39"/>
      <c r="F419" s="48"/>
    </row>
    <row r="420" spans="3:6" ht="13.5">
      <c r="C420" s="39"/>
      <c r="F420" s="48"/>
    </row>
    <row r="421" spans="3:6" ht="13.5">
      <c r="C421" s="39"/>
      <c r="F421" s="48"/>
    </row>
    <row r="422" spans="3:6" ht="13.5">
      <c r="C422" s="39"/>
      <c r="F422" s="48"/>
    </row>
    <row r="423" spans="3:6" ht="13.5">
      <c r="C423" s="39"/>
      <c r="F423" s="48"/>
    </row>
    <row r="424" spans="3:6" ht="13.5">
      <c r="C424" s="39"/>
      <c r="F424" s="48"/>
    </row>
    <row r="425" spans="3:6" ht="13.5">
      <c r="C425" s="39"/>
      <c r="F425" s="48"/>
    </row>
    <row r="426" spans="3:6" ht="13.5">
      <c r="C426" s="39"/>
      <c r="F426" s="48"/>
    </row>
    <row r="427" spans="3:6" ht="13.5">
      <c r="C427" s="39"/>
      <c r="F427" s="48"/>
    </row>
    <row r="428" spans="3:6" ht="13.5">
      <c r="C428" s="39"/>
      <c r="F428" s="48"/>
    </row>
    <row r="429" spans="3:6" ht="13.5">
      <c r="C429" s="39"/>
      <c r="F429" s="48"/>
    </row>
    <row r="430" spans="3:6" ht="13.5">
      <c r="C430" s="39"/>
      <c r="F430" s="48"/>
    </row>
    <row r="431" spans="3:6" ht="13.5">
      <c r="C431" s="39"/>
      <c r="F431" s="48"/>
    </row>
    <row r="432" spans="3:6" ht="13.5">
      <c r="C432" s="39"/>
      <c r="F432" s="48"/>
    </row>
    <row r="433" spans="3:6" ht="13.5">
      <c r="C433" s="39"/>
      <c r="F433" s="48"/>
    </row>
    <row r="434" spans="3:6" ht="13.5">
      <c r="C434" s="39"/>
      <c r="F434" s="48"/>
    </row>
    <row r="435" spans="3:6" ht="13.5">
      <c r="C435" s="39"/>
      <c r="F435" s="48"/>
    </row>
    <row r="436" spans="3:6" ht="13.5">
      <c r="C436" s="39"/>
      <c r="F436" s="48"/>
    </row>
    <row r="437" spans="3:6" ht="13.5">
      <c r="C437" s="39"/>
      <c r="F437" s="48"/>
    </row>
    <row r="438" spans="3:6" ht="13.5">
      <c r="C438" s="39"/>
      <c r="F438" s="48"/>
    </row>
    <row r="439" spans="3:6" ht="13.5">
      <c r="C439" s="39"/>
      <c r="F439" s="48"/>
    </row>
    <row r="440" spans="3:6" ht="13.5">
      <c r="C440" s="39"/>
      <c r="F440" s="48"/>
    </row>
    <row r="441" spans="3:6" ht="13.5">
      <c r="C441" s="39"/>
      <c r="F441" s="48"/>
    </row>
    <row r="442" spans="3:6" ht="13.5">
      <c r="C442" s="39"/>
      <c r="F442" s="48"/>
    </row>
    <row r="443" spans="3:6" ht="13.5">
      <c r="C443" s="39"/>
      <c r="F443" s="48"/>
    </row>
    <row r="444" spans="3:6" ht="13.5">
      <c r="C444" s="39"/>
      <c r="F444" s="48"/>
    </row>
    <row r="445" spans="3:6" ht="13.5">
      <c r="C445" s="39"/>
      <c r="F445" s="48"/>
    </row>
    <row r="446" spans="3:6" ht="13.5">
      <c r="C446" s="39"/>
      <c r="F446" s="48"/>
    </row>
    <row r="447" spans="3:6" ht="13.5">
      <c r="C447" s="39"/>
      <c r="F447" s="48"/>
    </row>
    <row r="448" spans="3:6" ht="13.5">
      <c r="C448" s="39"/>
      <c r="F448" s="48"/>
    </row>
    <row r="449" spans="3:6" ht="13.5">
      <c r="C449" s="39"/>
      <c r="F449" s="48"/>
    </row>
    <row r="450" spans="3:6" ht="13.5">
      <c r="C450" s="39"/>
      <c r="F450" s="48"/>
    </row>
    <row r="451" spans="3:6" ht="13.5">
      <c r="C451" s="39"/>
      <c r="F451" s="48"/>
    </row>
    <row r="452" spans="3:6" ht="13.5">
      <c r="C452" s="39"/>
      <c r="F452" s="48"/>
    </row>
    <row r="453" spans="3:6" ht="13.5">
      <c r="C453" s="39"/>
      <c r="F453" s="48"/>
    </row>
    <row r="454" spans="3:6" ht="13.5">
      <c r="C454" s="39"/>
      <c r="F454" s="48"/>
    </row>
    <row r="455" spans="3:6" ht="13.5">
      <c r="C455" s="39"/>
      <c r="F455" s="48"/>
    </row>
    <row r="456" spans="3:6" ht="13.5">
      <c r="C456" s="39"/>
      <c r="F456" s="48"/>
    </row>
    <row r="457" spans="3:6" ht="13.5">
      <c r="C457" s="39"/>
      <c r="F457" s="48"/>
    </row>
    <row r="458" spans="3:6" ht="13.5">
      <c r="C458" s="39"/>
      <c r="F458" s="48"/>
    </row>
    <row r="459" spans="3:6" ht="13.5">
      <c r="C459" s="39"/>
      <c r="F459" s="48"/>
    </row>
    <row r="460" spans="3:6" ht="13.5">
      <c r="C460" s="39"/>
      <c r="F460" s="48"/>
    </row>
    <row r="461" spans="3:6" ht="13.5">
      <c r="C461" s="39"/>
      <c r="F461" s="48"/>
    </row>
    <row r="462" spans="3:6" ht="13.5">
      <c r="C462" s="39"/>
      <c r="F462" s="48"/>
    </row>
    <row r="463" spans="3:6" ht="13.5">
      <c r="C463" s="39"/>
      <c r="F463" s="48"/>
    </row>
    <row r="464" spans="3:6" ht="13.5">
      <c r="C464" s="39"/>
      <c r="F464" s="48"/>
    </row>
    <row r="465" spans="3:6" ht="13.5">
      <c r="C465" s="39"/>
      <c r="F465" s="48"/>
    </row>
    <row r="466" spans="3:6" ht="13.5">
      <c r="C466" s="39"/>
      <c r="F466" s="48"/>
    </row>
    <row r="467" spans="3:6" ht="13.5">
      <c r="C467" s="39"/>
      <c r="F467" s="48"/>
    </row>
    <row r="468" spans="3:6" ht="13.5">
      <c r="C468" s="39"/>
      <c r="F468" s="48"/>
    </row>
    <row r="469" spans="3:6" ht="13.5">
      <c r="C469" s="39"/>
      <c r="F469" s="48"/>
    </row>
    <row r="470" spans="3:6" ht="13.5">
      <c r="C470" s="39"/>
      <c r="F470" s="48"/>
    </row>
    <row r="471" spans="3:6" ht="13.5">
      <c r="C471" s="39"/>
      <c r="F471" s="48"/>
    </row>
    <row r="472" spans="3:6" ht="13.5">
      <c r="C472" s="39"/>
      <c r="F472" s="48"/>
    </row>
    <row r="473" spans="3:6" ht="13.5">
      <c r="C473" s="39"/>
      <c r="F473" s="48"/>
    </row>
    <row r="474" spans="3:6" ht="13.5">
      <c r="C474" s="39"/>
      <c r="F474" s="48"/>
    </row>
    <row r="475" spans="3:6" ht="13.5">
      <c r="C475" s="39"/>
      <c r="F475" s="48"/>
    </row>
    <row r="476" spans="3:6" ht="13.5">
      <c r="C476" s="39"/>
      <c r="F476" s="48"/>
    </row>
    <row r="477" spans="3:6" ht="13.5">
      <c r="C477" s="39"/>
      <c r="F477" s="48"/>
    </row>
    <row r="478" spans="3:6" ht="13.5">
      <c r="C478" s="39"/>
      <c r="F478" s="48"/>
    </row>
    <row r="479" spans="3:6" ht="13.5">
      <c r="C479" s="39"/>
      <c r="F479" s="48"/>
    </row>
    <row r="480" spans="3:6" ht="13.5">
      <c r="C480" s="39"/>
      <c r="F480" s="48"/>
    </row>
    <row r="481" spans="3:6" ht="13.5">
      <c r="C481" s="39"/>
      <c r="F481" s="48"/>
    </row>
    <row r="482" spans="3:6" ht="13.5">
      <c r="C482" s="39"/>
      <c r="F482" s="48"/>
    </row>
    <row r="483" spans="3:6" ht="13.5">
      <c r="C483" s="39"/>
      <c r="F483" s="48"/>
    </row>
    <row r="484" spans="3:6" ht="13.5">
      <c r="C484" s="39"/>
      <c r="F484" s="48"/>
    </row>
    <row r="485" spans="3:6" ht="13.5">
      <c r="C485" s="39"/>
      <c r="F485" s="48"/>
    </row>
    <row r="486" spans="3:6" ht="13.5">
      <c r="C486" s="39"/>
      <c r="F486" s="48"/>
    </row>
    <row r="487" spans="3:6" ht="13.5">
      <c r="C487" s="39"/>
      <c r="F487" s="48"/>
    </row>
    <row r="488" spans="3:6" ht="13.5">
      <c r="C488" s="39"/>
      <c r="F488" s="48"/>
    </row>
    <row r="489" spans="3:6" ht="13.5">
      <c r="C489" s="39"/>
      <c r="F489" s="48"/>
    </row>
    <row r="490" spans="3:6" ht="13.5">
      <c r="C490" s="39"/>
      <c r="F490" s="48"/>
    </row>
    <row r="491" spans="3:6" ht="13.5">
      <c r="C491" s="39"/>
      <c r="F491" s="48"/>
    </row>
    <row r="492" spans="3:6" ht="13.5">
      <c r="C492" s="39"/>
      <c r="F492" s="48"/>
    </row>
    <row r="493" spans="3:6" ht="13.5">
      <c r="C493" s="39"/>
      <c r="F493" s="48"/>
    </row>
    <row r="494" spans="3:6" ht="13.5">
      <c r="C494" s="39"/>
      <c r="F494" s="48"/>
    </row>
    <row r="495" spans="3:6" ht="13.5">
      <c r="C495" s="39"/>
      <c r="F495" s="48"/>
    </row>
    <row r="496" spans="3:6" ht="13.5">
      <c r="C496" s="39"/>
      <c r="F496" s="48"/>
    </row>
    <row r="497" spans="3:6" ht="13.5">
      <c r="C497" s="39"/>
      <c r="F497" s="48"/>
    </row>
  </sheetData>
  <sheetProtection/>
  <printOptions/>
  <pageMargins left="0" right="0" top="0.2755905511811024" bottom="0.1968503937007874" header="0.2755905511811024" footer="0.15748031496062992"/>
  <pageSetup fitToHeight="0" fitToWidth="1" horizontalDpi="600" verticalDpi="600" orientation="landscape" paperSize="9" scale="69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"/>
  <sheetViews>
    <sheetView zoomScalePageLayoutView="0" workbookViewId="0" topLeftCell="F1">
      <pane ySplit="1" topLeftCell="A35" activePane="bottomLeft" state="frozen"/>
      <selection pane="topLeft" activeCell="D1" sqref="D1"/>
      <selection pane="bottomLeft" activeCell="J59" sqref="J59"/>
    </sheetView>
  </sheetViews>
  <sheetFormatPr defaultColWidth="9.140625" defaultRowHeight="12.75"/>
  <cols>
    <col min="2" max="2" width="10.140625" style="0" bestFit="1" customWidth="1"/>
    <col min="3" max="3" width="44.28125" style="0" customWidth="1"/>
    <col min="5" max="5" width="12.8515625" style="0" bestFit="1" customWidth="1"/>
    <col min="7" max="7" width="53.140625" style="0" bestFit="1" customWidth="1"/>
    <col min="9" max="9" width="30.8515625" style="0" bestFit="1" customWidth="1"/>
    <col min="10" max="10" width="11.8515625" style="0" bestFit="1" customWidth="1"/>
    <col min="11" max="11" width="9.28125" style="0" bestFit="1" customWidth="1"/>
    <col min="12" max="12" width="11.8515625" style="0" bestFit="1" customWidth="1"/>
    <col min="13" max="13" width="10.421875" style="0" bestFit="1" customWidth="1"/>
    <col min="14" max="14" width="11.8515625" style="0" bestFit="1" customWidth="1"/>
    <col min="15" max="15" width="9.28125" style="0" bestFit="1" customWidth="1"/>
  </cols>
  <sheetData>
    <row r="1" spans="10:15" ht="39" thickTop="1">
      <c r="J1" s="642" t="s">
        <v>324</v>
      </c>
      <c r="K1" s="642" t="s">
        <v>328</v>
      </c>
      <c r="L1" s="642" t="s">
        <v>695</v>
      </c>
      <c r="M1" s="642" t="s">
        <v>370</v>
      </c>
      <c r="N1" s="642" t="s">
        <v>696</v>
      </c>
      <c r="O1" s="642" t="s">
        <v>697</v>
      </c>
    </row>
    <row r="2" spans="1:15" s="147" customFormat="1" ht="12.75">
      <c r="A2" s="312">
        <v>14</v>
      </c>
      <c r="B2" s="274">
        <v>41647</v>
      </c>
      <c r="C2" s="312" t="s">
        <v>433</v>
      </c>
      <c r="D2" s="312" t="s">
        <v>374</v>
      </c>
      <c r="E2" s="363">
        <v>1251.02</v>
      </c>
      <c r="F2" s="312"/>
      <c r="G2" s="312" t="s">
        <v>430</v>
      </c>
      <c r="H2" s="312" t="s">
        <v>294</v>
      </c>
      <c r="I2" s="312" t="s">
        <v>434</v>
      </c>
      <c r="J2" s="363">
        <v>750.612</v>
      </c>
      <c r="K2" s="363"/>
      <c r="L2" s="363">
        <v>125.102</v>
      </c>
      <c r="M2" s="363"/>
      <c r="N2" s="363">
        <v>375.30600000000004</v>
      </c>
      <c r="O2" s="363"/>
    </row>
    <row r="3" spans="1:15" s="147" customFormat="1" ht="12.75">
      <c r="A3" s="312">
        <v>15</v>
      </c>
      <c r="B3" s="274">
        <v>41647</v>
      </c>
      <c r="C3" s="312" t="s">
        <v>579</v>
      </c>
      <c r="D3" s="312" t="s">
        <v>284</v>
      </c>
      <c r="E3" s="363">
        <v>231.18</v>
      </c>
      <c r="F3" s="312"/>
      <c r="G3" s="312" t="s">
        <v>430</v>
      </c>
      <c r="H3" s="312" t="s">
        <v>294</v>
      </c>
      <c r="I3" s="312" t="s">
        <v>434</v>
      </c>
      <c r="J3" s="363">
        <v>138.708</v>
      </c>
      <c r="K3" s="363"/>
      <c r="L3" s="363">
        <v>23.118000000000002</v>
      </c>
      <c r="M3" s="363"/>
      <c r="N3" s="363">
        <v>69.35400000000001</v>
      </c>
      <c r="O3" s="363"/>
    </row>
    <row r="4" spans="1:15" s="147" customFormat="1" ht="12.75">
      <c r="A4" s="312">
        <v>16</v>
      </c>
      <c r="B4" s="274">
        <v>41647</v>
      </c>
      <c r="C4" s="312" t="s">
        <v>580</v>
      </c>
      <c r="D4" s="312" t="s">
        <v>284</v>
      </c>
      <c r="E4" s="363">
        <v>3.9</v>
      </c>
      <c r="F4" s="312"/>
      <c r="G4" s="312" t="s">
        <v>430</v>
      </c>
      <c r="H4" s="312" t="s">
        <v>294</v>
      </c>
      <c r="I4" s="312" t="s">
        <v>434</v>
      </c>
      <c r="J4" s="363">
        <v>2.34</v>
      </c>
      <c r="K4" s="363"/>
      <c r="L4" s="363">
        <v>0.39</v>
      </c>
      <c r="M4" s="363"/>
      <c r="N4" s="363">
        <v>1.17</v>
      </c>
      <c r="O4" s="363"/>
    </row>
    <row r="5" spans="1:15" s="147" customFormat="1" ht="12.75">
      <c r="A5" s="312">
        <v>6</v>
      </c>
      <c r="B5" s="274">
        <v>41647</v>
      </c>
      <c r="C5" s="312" t="s">
        <v>595</v>
      </c>
      <c r="D5" s="312" t="s">
        <v>333</v>
      </c>
      <c r="E5" s="363">
        <v>1010.16</v>
      </c>
      <c r="F5" s="312"/>
      <c r="G5" s="312" t="s">
        <v>430</v>
      </c>
      <c r="H5" s="312" t="s">
        <v>294</v>
      </c>
      <c r="I5" s="312" t="s">
        <v>431</v>
      </c>
      <c r="J5" s="363"/>
      <c r="K5" s="363"/>
      <c r="L5" s="363">
        <f>E5/2</f>
        <v>505.08</v>
      </c>
      <c r="M5" s="363"/>
      <c r="N5" s="363">
        <f aca="true" t="shared" si="0" ref="N5:N36">E5/2</f>
        <v>505.08</v>
      </c>
      <c r="O5" s="363"/>
    </row>
    <row r="6" spans="1:15" s="147" customFormat="1" ht="12.75">
      <c r="A6" s="312">
        <v>7</v>
      </c>
      <c r="B6" s="274">
        <v>41647</v>
      </c>
      <c r="C6" s="312" t="s">
        <v>596</v>
      </c>
      <c r="D6" s="312" t="s">
        <v>333</v>
      </c>
      <c r="E6" s="363">
        <v>0.61</v>
      </c>
      <c r="F6" s="312"/>
      <c r="G6" s="312" t="s">
        <v>430</v>
      </c>
      <c r="H6" s="312" t="s">
        <v>294</v>
      </c>
      <c r="I6" s="312" t="s">
        <v>431</v>
      </c>
      <c r="J6" s="363"/>
      <c r="K6" s="363"/>
      <c r="L6" s="363">
        <f>E6/2</f>
        <v>0.305</v>
      </c>
      <c r="M6" s="363"/>
      <c r="N6" s="363">
        <f t="shared" si="0"/>
        <v>0.305</v>
      </c>
      <c r="O6" s="363"/>
    </row>
    <row r="7" spans="1:15" s="147" customFormat="1" ht="12.75">
      <c r="A7" s="312">
        <v>8</v>
      </c>
      <c r="B7" s="274">
        <v>41647</v>
      </c>
      <c r="C7" s="312" t="s">
        <v>597</v>
      </c>
      <c r="D7" s="312" t="s">
        <v>284</v>
      </c>
      <c r="E7" s="363">
        <v>186.64</v>
      </c>
      <c r="F7" s="312"/>
      <c r="G7" s="312" t="s">
        <v>430</v>
      </c>
      <c r="H7" s="312" t="s">
        <v>294</v>
      </c>
      <c r="I7" s="312" t="s">
        <v>431</v>
      </c>
      <c r="J7" s="363"/>
      <c r="K7" s="363"/>
      <c r="L7" s="363">
        <f>E7/2</f>
        <v>93.32</v>
      </c>
      <c r="M7" s="363"/>
      <c r="N7" s="363">
        <f t="shared" si="0"/>
        <v>93.32</v>
      </c>
      <c r="O7" s="363"/>
    </row>
    <row r="8" spans="1:15" s="147" customFormat="1" ht="12.75">
      <c r="A8" s="312">
        <v>9</v>
      </c>
      <c r="B8" s="274">
        <v>41647</v>
      </c>
      <c r="C8" s="312" t="s">
        <v>598</v>
      </c>
      <c r="D8" s="312" t="s">
        <v>284</v>
      </c>
      <c r="E8" s="363">
        <v>16.26</v>
      </c>
      <c r="F8" s="312"/>
      <c r="G8" s="312" t="s">
        <v>430</v>
      </c>
      <c r="H8" s="312" t="s">
        <v>294</v>
      </c>
      <c r="I8" s="312" t="s">
        <v>431</v>
      </c>
      <c r="J8" s="363"/>
      <c r="K8" s="363"/>
      <c r="L8" s="363">
        <f>E8/2</f>
        <v>8.13</v>
      </c>
      <c r="M8" s="363"/>
      <c r="N8" s="363">
        <f t="shared" si="0"/>
        <v>8.13</v>
      </c>
      <c r="O8" s="363"/>
    </row>
    <row r="9" spans="1:15" s="147" customFormat="1" ht="12.75">
      <c r="A9" s="312">
        <v>10</v>
      </c>
      <c r="B9" s="274">
        <v>41647</v>
      </c>
      <c r="C9" s="312" t="s">
        <v>595</v>
      </c>
      <c r="D9" s="312" t="s">
        <v>599</v>
      </c>
      <c r="E9" s="363">
        <v>453.57</v>
      </c>
      <c r="F9" s="312"/>
      <c r="G9" s="312" t="s">
        <v>430</v>
      </c>
      <c r="H9" s="312" t="s">
        <v>294</v>
      </c>
      <c r="I9" s="312" t="s">
        <v>432</v>
      </c>
      <c r="J9" s="363"/>
      <c r="K9" s="363"/>
      <c r="L9" s="363"/>
      <c r="M9" s="363">
        <f>E9/2</f>
        <v>226.785</v>
      </c>
      <c r="N9" s="363">
        <f t="shared" si="0"/>
        <v>226.785</v>
      </c>
      <c r="O9" s="363"/>
    </row>
    <row r="10" spans="1:15" s="147" customFormat="1" ht="12.75">
      <c r="A10" s="312">
        <v>11</v>
      </c>
      <c r="B10" s="274">
        <v>41647</v>
      </c>
      <c r="C10" s="312" t="s">
        <v>596</v>
      </c>
      <c r="D10" s="312" t="s">
        <v>599</v>
      </c>
      <c r="E10" s="363">
        <v>0.76</v>
      </c>
      <c r="F10" s="312"/>
      <c r="G10" s="312" t="s">
        <v>430</v>
      </c>
      <c r="H10" s="312" t="s">
        <v>294</v>
      </c>
      <c r="I10" s="312" t="s">
        <v>432</v>
      </c>
      <c r="J10" s="363"/>
      <c r="K10" s="363"/>
      <c r="L10" s="363"/>
      <c r="M10" s="363">
        <f>E10/2</f>
        <v>0.38</v>
      </c>
      <c r="N10" s="363">
        <f t="shared" si="0"/>
        <v>0.38</v>
      </c>
      <c r="O10" s="363"/>
    </row>
    <row r="11" spans="1:15" s="147" customFormat="1" ht="12.75">
      <c r="A11" s="312">
        <v>12</v>
      </c>
      <c r="B11" s="274">
        <v>41647</v>
      </c>
      <c r="C11" s="312" t="s">
        <v>600</v>
      </c>
      <c r="D11" s="312" t="s">
        <v>284</v>
      </c>
      <c r="E11" s="363">
        <v>83.9</v>
      </c>
      <c r="F11" s="312"/>
      <c r="G11" s="312" t="s">
        <v>430</v>
      </c>
      <c r="H11" s="312" t="s">
        <v>294</v>
      </c>
      <c r="I11" s="312" t="s">
        <v>432</v>
      </c>
      <c r="J11" s="363"/>
      <c r="K11" s="363"/>
      <c r="L11" s="363"/>
      <c r="M11" s="363">
        <f>E11/2</f>
        <v>41.95</v>
      </c>
      <c r="N11" s="363">
        <f t="shared" si="0"/>
        <v>41.95</v>
      </c>
      <c r="O11" s="363"/>
    </row>
    <row r="12" spans="1:15" s="147" customFormat="1" ht="12.75">
      <c r="A12" s="312">
        <v>13</v>
      </c>
      <c r="B12" s="274">
        <v>41647</v>
      </c>
      <c r="C12" s="312" t="s">
        <v>601</v>
      </c>
      <c r="D12" s="312" t="s">
        <v>284</v>
      </c>
      <c r="E12" s="363">
        <v>24.76</v>
      </c>
      <c r="F12" s="312"/>
      <c r="G12" s="312" t="s">
        <v>430</v>
      </c>
      <c r="H12" s="312" t="s">
        <v>294</v>
      </c>
      <c r="I12" s="312" t="s">
        <v>432</v>
      </c>
      <c r="J12" s="363"/>
      <c r="K12" s="363"/>
      <c r="L12" s="363"/>
      <c r="M12" s="363">
        <f>E12/2</f>
        <v>12.38</v>
      </c>
      <c r="N12" s="363">
        <f t="shared" si="0"/>
        <v>12.38</v>
      </c>
      <c r="O12" s="363"/>
    </row>
    <row r="13" spans="1:15" s="147" customFormat="1" ht="12.75">
      <c r="A13" s="312">
        <v>28</v>
      </c>
      <c r="B13" s="274">
        <v>41673</v>
      </c>
      <c r="C13" s="312" t="s">
        <v>602</v>
      </c>
      <c r="D13" s="312" t="s">
        <v>364</v>
      </c>
      <c r="E13" s="363">
        <v>661.88</v>
      </c>
      <c r="F13" s="312"/>
      <c r="G13" s="312" t="s">
        <v>430</v>
      </c>
      <c r="H13" s="312" t="s">
        <v>294</v>
      </c>
      <c r="I13" s="312" t="s">
        <v>445</v>
      </c>
      <c r="J13" s="363">
        <f>E13/2</f>
        <v>330.94</v>
      </c>
      <c r="K13" s="363"/>
      <c r="L13" s="363"/>
      <c r="M13" s="363"/>
      <c r="N13" s="363">
        <f t="shared" si="0"/>
        <v>330.94</v>
      </c>
      <c r="O13" s="363"/>
    </row>
    <row r="14" spans="1:15" s="147" customFormat="1" ht="12.75">
      <c r="A14" s="312">
        <v>29</v>
      </c>
      <c r="B14" s="274">
        <v>41673</v>
      </c>
      <c r="C14" s="312" t="s">
        <v>602</v>
      </c>
      <c r="D14" s="312" t="s">
        <v>364</v>
      </c>
      <c r="E14" s="363">
        <v>0.71</v>
      </c>
      <c r="F14" s="312"/>
      <c r="G14" s="312" t="s">
        <v>430</v>
      </c>
      <c r="H14" s="312" t="s">
        <v>294</v>
      </c>
      <c r="I14" s="312" t="s">
        <v>445</v>
      </c>
      <c r="J14" s="363">
        <f>E14/2</f>
        <v>0.355</v>
      </c>
      <c r="K14" s="363"/>
      <c r="L14" s="363"/>
      <c r="M14" s="363"/>
      <c r="N14" s="363">
        <f t="shared" si="0"/>
        <v>0.355</v>
      </c>
      <c r="O14" s="363"/>
    </row>
    <row r="15" spans="1:15" s="147" customFormat="1" ht="12.75">
      <c r="A15" s="312">
        <v>30</v>
      </c>
      <c r="B15" s="274">
        <v>41673</v>
      </c>
      <c r="C15" s="312" t="s">
        <v>603</v>
      </c>
      <c r="D15" s="312" t="s">
        <v>284</v>
      </c>
      <c r="E15" s="363">
        <v>126.7</v>
      </c>
      <c r="F15" s="312"/>
      <c r="G15" s="312" t="s">
        <v>430</v>
      </c>
      <c r="H15" s="312" t="s">
        <v>294</v>
      </c>
      <c r="I15" s="312" t="s">
        <v>445</v>
      </c>
      <c r="J15" s="363">
        <f>E15/2</f>
        <v>63.35</v>
      </c>
      <c r="K15" s="363"/>
      <c r="L15" s="363"/>
      <c r="M15" s="363"/>
      <c r="N15" s="363">
        <f t="shared" si="0"/>
        <v>63.35</v>
      </c>
      <c r="O15" s="363"/>
    </row>
    <row r="16" spans="1:15" s="147" customFormat="1" ht="12.75">
      <c r="A16" s="312">
        <v>31</v>
      </c>
      <c r="B16" s="274">
        <v>41673</v>
      </c>
      <c r="C16" s="312" t="s">
        <v>604</v>
      </c>
      <c r="D16" s="312" t="s">
        <v>284</v>
      </c>
      <c r="E16" s="363">
        <v>4.12</v>
      </c>
      <c r="F16" s="312"/>
      <c r="G16" s="312" t="s">
        <v>430</v>
      </c>
      <c r="H16" s="312" t="s">
        <v>294</v>
      </c>
      <c r="I16" s="312" t="s">
        <v>445</v>
      </c>
      <c r="J16" s="363">
        <f>E16/2</f>
        <v>2.06</v>
      </c>
      <c r="K16" s="363"/>
      <c r="L16" s="363"/>
      <c r="M16" s="363"/>
      <c r="N16" s="363">
        <f t="shared" si="0"/>
        <v>2.06</v>
      </c>
      <c r="O16" s="363"/>
    </row>
    <row r="17" spans="1:15" s="147" customFormat="1" ht="12.75">
      <c r="A17" s="312">
        <v>46</v>
      </c>
      <c r="B17" s="274">
        <v>41690</v>
      </c>
      <c r="C17" s="312" t="s">
        <v>450</v>
      </c>
      <c r="D17" s="312" t="s">
        <v>451</v>
      </c>
      <c r="E17" s="363">
        <v>1037.88</v>
      </c>
      <c r="F17" s="312"/>
      <c r="G17" s="312" t="s">
        <v>430</v>
      </c>
      <c r="H17" s="312" t="s">
        <v>294</v>
      </c>
      <c r="I17" s="312" t="s">
        <v>431</v>
      </c>
      <c r="J17" s="643"/>
      <c r="K17" s="363"/>
      <c r="L17" s="363">
        <f>E17/2</f>
        <v>518.94</v>
      </c>
      <c r="M17" s="363"/>
      <c r="N17" s="363">
        <f t="shared" si="0"/>
        <v>518.94</v>
      </c>
      <c r="O17" s="363"/>
    </row>
    <row r="18" spans="1:15" s="147" customFormat="1" ht="12.75">
      <c r="A18" s="312">
        <v>57</v>
      </c>
      <c r="B18" s="274">
        <v>41708</v>
      </c>
      <c r="C18" s="312" t="s">
        <v>605</v>
      </c>
      <c r="D18" s="312" t="s">
        <v>333</v>
      </c>
      <c r="E18" s="363">
        <v>1020.73</v>
      </c>
      <c r="F18" s="312"/>
      <c r="G18" s="312" t="s">
        <v>430</v>
      </c>
      <c r="H18" s="312" t="s">
        <v>294</v>
      </c>
      <c r="I18" s="312" t="s">
        <v>431</v>
      </c>
      <c r="J18" s="363"/>
      <c r="K18" s="363"/>
      <c r="L18" s="363">
        <f>E18/2</f>
        <v>510.365</v>
      </c>
      <c r="M18" s="363"/>
      <c r="N18" s="363">
        <f t="shared" si="0"/>
        <v>510.365</v>
      </c>
      <c r="O18" s="363"/>
    </row>
    <row r="19" spans="1:15" s="147" customFormat="1" ht="12.75">
      <c r="A19" s="312">
        <v>58</v>
      </c>
      <c r="B19" s="274">
        <v>41708</v>
      </c>
      <c r="C19" s="312" t="s">
        <v>606</v>
      </c>
      <c r="D19" s="312" t="s">
        <v>333</v>
      </c>
      <c r="E19" s="363">
        <v>0.8</v>
      </c>
      <c r="F19" s="312"/>
      <c r="G19" s="312" t="s">
        <v>430</v>
      </c>
      <c r="H19" s="312" t="s">
        <v>294</v>
      </c>
      <c r="I19" s="312" t="s">
        <v>431</v>
      </c>
      <c r="J19" s="363"/>
      <c r="K19" s="363"/>
      <c r="L19" s="363">
        <f>E19/2</f>
        <v>0.4</v>
      </c>
      <c r="M19" s="363"/>
      <c r="N19" s="363">
        <f t="shared" si="0"/>
        <v>0.4</v>
      </c>
      <c r="O19" s="363"/>
    </row>
    <row r="20" spans="1:15" s="147" customFormat="1" ht="12.75">
      <c r="A20" s="312">
        <v>59</v>
      </c>
      <c r="B20" s="274">
        <v>41708</v>
      </c>
      <c r="C20" s="312" t="s">
        <v>607</v>
      </c>
      <c r="D20" s="312" t="s">
        <v>284</v>
      </c>
      <c r="E20" s="363">
        <v>195.42</v>
      </c>
      <c r="F20" s="312"/>
      <c r="G20" s="312" t="s">
        <v>430</v>
      </c>
      <c r="H20" s="312" t="s">
        <v>294</v>
      </c>
      <c r="I20" s="312" t="s">
        <v>431</v>
      </c>
      <c r="J20" s="363"/>
      <c r="K20" s="363"/>
      <c r="L20" s="363">
        <f>E20/2</f>
        <v>97.71</v>
      </c>
      <c r="M20" s="363"/>
      <c r="N20" s="363">
        <f t="shared" si="0"/>
        <v>97.71</v>
      </c>
      <c r="O20" s="363"/>
    </row>
    <row r="21" spans="1:15" s="147" customFormat="1" ht="12.75">
      <c r="A21" s="312">
        <v>60</v>
      </c>
      <c r="B21" s="274">
        <v>41708</v>
      </c>
      <c r="C21" s="312" t="s">
        <v>608</v>
      </c>
      <c r="D21" s="312" t="s">
        <v>284</v>
      </c>
      <c r="E21" s="363">
        <v>8.26</v>
      </c>
      <c r="F21" s="312"/>
      <c r="G21" s="312" t="s">
        <v>430</v>
      </c>
      <c r="H21" s="312" t="s">
        <v>294</v>
      </c>
      <c r="I21" s="312" t="s">
        <v>431</v>
      </c>
      <c r="J21" s="363"/>
      <c r="K21" s="363"/>
      <c r="L21" s="363">
        <f>E21/2</f>
        <v>4.13</v>
      </c>
      <c r="M21" s="363"/>
      <c r="N21" s="363">
        <f t="shared" si="0"/>
        <v>4.13</v>
      </c>
      <c r="O21" s="363"/>
    </row>
    <row r="22" spans="1:15" s="147" customFormat="1" ht="12.75">
      <c r="A22" s="312">
        <v>91</v>
      </c>
      <c r="B22" s="274">
        <v>41733</v>
      </c>
      <c r="C22" s="312" t="s">
        <v>613</v>
      </c>
      <c r="D22" s="312" t="s">
        <v>364</v>
      </c>
      <c r="E22" s="363">
        <v>707.68</v>
      </c>
      <c r="F22" s="312"/>
      <c r="G22" s="312" t="s">
        <v>430</v>
      </c>
      <c r="H22" s="312" t="s">
        <v>294</v>
      </c>
      <c r="I22" s="312" t="s">
        <v>445</v>
      </c>
      <c r="J22" s="363">
        <f>E22/2</f>
        <v>353.84</v>
      </c>
      <c r="K22" s="363"/>
      <c r="L22" s="363"/>
      <c r="M22" s="363"/>
      <c r="N22" s="363">
        <f t="shared" si="0"/>
        <v>353.84</v>
      </c>
      <c r="O22" s="363"/>
    </row>
    <row r="23" spans="1:15" s="147" customFormat="1" ht="12.75">
      <c r="A23" s="312">
        <v>92</v>
      </c>
      <c r="B23" s="274">
        <v>41733</v>
      </c>
      <c r="C23" s="312" t="s">
        <v>614</v>
      </c>
      <c r="D23" s="312" t="s">
        <v>284</v>
      </c>
      <c r="E23" s="363">
        <v>135.52</v>
      </c>
      <c r="F23" s="312"/>
      <c r="G23" s="312" t="s">
        <v>430</v>
      </c>
      <c r="H23" s="312" t="s">
        <v>294</v>
      </c>
      <c r="I23" s="312" t="s">
        <v>445</v>
      </c>
      <c r="J23" s="363">
        <f>E23/2</f>
        <v>67.76</v>
      </c>
      <c r="K23" s="363"/>
      <c r="L23" s="363"/>
      <c r="M23" s="363"/>
      <c r="N23" s="363">
        <f t="shared" si="0"/>
        <v>67.76</v>
      </c>
      <c r="O23" s="363"/>
    </row>
    <row r="24" spans="1:15" s="147" customFormat="1" ht="12.75">
      <c r="A24" s="312">
        <v>93</v>
      </c>
      <c r="B24" s="274">
        <v>41733</v>
      </c>
      <c r="C24" s="312" t="s">
        <v>615</v>
      </c>
      <c r="D24" s="312" t="s">
        <v>284</v>
      </c>
      <c r="E24" s="363">
        <v>8.26</v>
      </c>
      <c r="F24" s="312"/>
      <c r="G24" s="312" t="s">
        <v>430</v>
      </c>
      <c r="H24" s="312" t="s">
        <v>294</v>
      </c>
      <c r="I24" s="312" t="s">
        <v>445</v>
      </c>
      <c r="J24" s="363">
        <f>E24/2</f>
        <v>4.13</v>
      </c>
      <c r="K24" s="363"/>
      <c r="L24" s="363"/>
      <c r="M24" s="363"/>
      <c r="N24" s="363">
        <f t="shared" si="0"/>
        <v>4.13</v>
      </c>
      <c r="O24" s="363"/>
    </row>
    <row r="25" spans="1:15" s="147" customFormat="1" ht="12.75">
      <c r="A25" s="312">
        <v>111</v>
      </c>
      <c r="B25" s="274">
        <v>41764</v>
      </c>
      <c r="C25" s="312" t="s">
        <v>493</v>
      </c>
      <c r="D25" s="312" t="s">
        <v>451</v>
      </c>
      <c r="E25" s="363">
        <v>304.52</v>
      </c>
      <c r="F25" s="312"/>
      <c r="G25" s="312" t="s">
        <v>430</v>
      </c>
      <c r="H25" s="312" t="s">
        <v>294</v>
      </c>
      <c r="I25" s="312" t="s">
        <v>431</v>
      </c>
      <c r="J25" s="363"/>
      <c r="K25" s="363"/>
      <c r="L25" s="363">
        <f>E25/2</f>
        <v>152.26</v>
      </c>
      <c r="M25" s="363"/>
      <c r="N25" s="363">
        <f t="shared" si="0"/>
        <v>152.26</v>
      </c>
      <c r="O25" s="363"/>
    </row>
    <row r="26" spans="1:15" s="147" customFormat="1" ht="12.75">
      <c r="A26" s="312">
        <v>112</v>
      </c>
      <c r="B26" s="274">
        <v>41766</v>
      </c>
      <c r="C26" s="312" t="s">
        <v>627</v>
      </c>
      <c r="D26" s="312" t="s">
        <v>333</v>
      </c>
      <c r="E26" s="363">
        <v>1022.89</v>
      </c>
      <c r="F26" s="312"/>
      <c r="G26" s="312" t="s">
        <v>430</v>
      </c>
      <c r="H26" s="312" t="s">
        <v>294</v>
      </c>
      <c r="I26" s="312" t="s">
        <v>494</v>
      </c>
      <c r="J26" s="363"/>
      <c r="K26" s="363"/>
      <c r="L26" s="363">
        <f>E26/2</f>
        <v>511.445</v>
      </c>
      <c r="M26" s="363"/>
      <c r="N26" s="363">
        <f t="shared" si="0"/>
        <v>511.445</v>
      </c>
      <c r="O26" s="363"/>
    </row>
    <row r="27" spans="1:15" s="147" customFormat="1" ht="12.75">
      <c r="A27" s="312">
        <v>113</v>
      </c>
      <c r="B27" s="274">
        <v>41766</v>
      </c>
      <c r="C27" s="312" t="s">
        <v>628</v>
      </c>
      <c r="D27" s="312" t="s">
        <v>333</v>
      </c>
      <c r="E27" s="363">
        <v>0.45</v>
      </c>
      <c r="F27" s="312"/>
      <c r="G27" s="312" t="s">
        <v>430</v>
      </c>
      <c r="H27" s="312" t="s">
        <v>294</v>
      </c>
      <c r="I27" s="312" t="s">
        <v>494</v>
      </c>
      <c r="J27" s="363"/>
      <c r="K27" s="363"/>
      <c r="L27" s="363">
        <f>E27/2</f>
        <v>0.225</v>
      </c>
      <c r="M27" s="363"/>
      <c r="N27" s="363">
        <f t="shared" si="0"/>
        <v>0.225</v>
      </c>
      <c r="O27" s="363"/>
    </row>
    <row r="28" spans="1:15" s="147" customFormat="1" ht="12.75">
      <c r="A28" s="312">
        <v>114</v>
      </c>
      <c r="B28" s="274">
        <v>41766</v>
      </c>
      <c r="C28" s="312" t="s">
        <v>629</v>
      </c>
      <c r="D28" s="312" t="s">
        <v>284</v>
      </c>
      <c r="E28" s="363">
        <v>195.8</v>
      </c>
      <c r="F28" s="312"/>
      <c r="G28" s="312" t="s">
        <v>430</v>
      </c>
      <c r="H28" s="312" t="s">
        <v>294</v>
      </c>
      <c r="I28" s="312" t="s">
        <v>494</v>
      </c>
      <c r="J28" s="363"/>
      <c r="K28" s="363"/>
      <c r="L28" s="363">
        <f>E28/2</f>
        <v>97.9</v>
      </c>
      <c r="M28" s="363"/>
      <c r="N28" s="363">
        <f t="shared" si="0"/>
        <v>97.9</v>
      </c>
      <c r="O28" s="363"/>
    </row>
    <row r="29" spans="1:15" s="147" customFormat="1" ht="12.75">
      <c r="A29" s="312">
        <v>115</v>
      </c>
      <c r="B29" s="274">
        <v>41766</v>
      </c>
      <c r="C29" s="312" t="s">
        <v>630</v>
      </c>
      <c r="D29" s="312" t="s">
        <v>284</v>
      </c>
      <c r="E29" s="363">
        <v>8.26</v>
      </c>
      <c r="F29" s="312"/>
      <c r="G29" s="312" t="s">
        <v>430</v>
      </c>
      <c r="H29" s="312" t="s">
        <v>294</v>
      </c>
      <c r="I29" s="312" t="s">
        <v>494</v>
      </c>
      <c r="J29" s="363"/>
      <c r="K29" s="363"/>
      <c r="L29" s="363">
        <f>E29/2</f>
        <v>4.13</v>
      </c>
      <c r="M29" s="363"/>
      <c r="N29" s="363">
        <f t="shared" si="0"/>
        <v>4.13</v>
      </c>
      <c r="O29" s="363"/>
    </row>
    <row r="30" spans="1:15" s="147" customFormat="1" ht="12.75">
      <c r="A30" s="312">
        <v>215</v>
      </c>
      <c r="B30" s="274">
        <v>41827</v>
      </c>
      <c r="C30" s="312" t="s">
        <v>635</v>
      </c>
      <c r="D30" s="312" t="s">
        <v>599</v>
      </c>
      <c r="E30" s="363">
        <v>456.17</v>
      </c>
      <c r="F30" s="312"/>
      <c r="G30" s="312" t="s">
        <v>545</v>
      </c>
      <c r="H30" s="312" t="s">
        <v>294</v>
      </c>
      <c r="I30" s="312" t="s">
        <v>693</v>
      </c>
      <c r="J30" s="363"/>
      <c r="K30" s="363"/>
      <c r="L30" s="363"/>
      <c r="M30" s="363">
        <f>E30/2</f>
        <v>228.085</v>
      </c>
      <c r="N30" s="363">
        <f t="shared" si="0"/>
        <v>228.085</v>
      </c>
      <c r="O30" s="363"/>
    </row>
    <row r="31" spans="1:15" s="147" customFormat="1" ht="12.75">
      <c r="A31" s="312">
        <v>216</v>
      </c>
      <c r="B31" s="274">
        <v>41827</v>
      </c>
      <c r="C31" s="312" t="s">
        <v>636</v>
      </c>
      <c r="D31" s="312" t="s">
        <v>599</v>
      </c>
      <c r="E31" s="363">
        <v>0.61</v>
      </c>
      <c r="F31" s="312"/>
      <c r="G31" s="312" t="s">
        <v>545</v>
      </c>
      <c r="H31" s="312" t="s">
        <v>294</v>
      </c>
      <c r="I31" s="312" t="s">
        <v>693</v>
      </c>
      <c r="J31" s="363"/>
      <c r="K31" s="363"/>
      <c r="L31" s="363"/>
      <c r="M31" s="363">
        <f>E31/2</f>
        <v>0.305</v>
      </c>
      <c r="N31" s="363">
        <f t="shared" si="0"/>
        <v>0.305</v>
      </c>
      <c r="O31" s="363"/>
    </row>
    <row r="32" spans="1:15" s="147" customFormat="1" ht="12.75">
      <c r="A32" s="312">
        <v>217</v>
      </c>
      <c r="B32" s="274">
        <v>41827</v>
      </c>
      <c r="C32" s="312" t="s">
        <v>643</v>
      </c>
      <c r="D32" s="312" t="s">
        <v>284</v>
      </c>
      <c r="E32" s="363">
        <v>87.28</v>
      </c>
      <c r="F32" s="312"/>
      <c r="G32" s="312" t="s">
        <v>545</v>
      </c>
      <c r="H32" s="312" t="s">
        <v>294</v>
      </c>
      <c r="I32" s="312" t="s">
        <v>693</v>
      </c>
      <c r="J32" s="363"/>
      <c r="K32" s="363"/>
      <c r="L32" s="363"/>
      <c r="M32" s="363">
        <f>E32/2</f>
        <v>43.64</v>
      </c>
      <c r="N32" s="363">
        <f t="shared" si="0"/>
        <v>43.64</v>
      </c>
      <c r="O32" s="363"/>
    </row>
    <row r="33" spans="1:15" s="147" customFormat="1" ht="12.75">
      <c r="A33" s="312">
        <v>218</v>
      </c>
      <c r="B33" s="274">
        <v>41827</v>
      </c>
      <c r="C33" s="312" t="s">
        <v>644</v>
      </c>
      <c r="D33" s="312" t="s">
        <v>284</v>
      </c>
      <c r="E33" s="363">
        <v>24.76</v>
      </c>
      <c r="F33" s="312"/>
      <c r="G33" s="312" t="s">
        <v>545</v>
      </c>
      <c r="H33" s="312" t="s">
        <v>294</v>
      </c>
      <c r="I33" s="312" t="s">
        <v>693</v>
      </c>
      <c r="J33" s="363"/>
      <c r="K33" s="363"/>
      <c r="L33" s="363"/>
      <c r="M33" s="363">
        <f>E33/2</f>
        <v>12.38</v>
      </c>
      <c r="N33" s="363">
        <f t="shared" si="0"/>
        <v>12.38</v>
      </c>
      <c r="O33" s="363"/>
    </row>
    <row r="34" spans="1:15" s="147" customFormat="1" ht="12.75">
      <c r="A34" s="312">
        <v>211</v>
      </c>
      <c r="B34" s="274">
        <v>41827</v>
      </c>
      <c r="C34" s="312" t="s">
        <v>635</v>
      </c>
      <c r="D34" s="312" t="s">
        <v>333</v>
      </c>
      <c r="E34" s="363">
        <v>1025.06</v>
      </c>
      <c r="F34" s="312"/>
      <c r="G34" s="312" t="s">
        <v>545</v>
      </c>
      <c r="H34" s="312" t="s">
        <v>294</v>
      </c>
      <c r="I34" s="312" t="s">
        <v>494</v>
      </c>
      <c r="J34" s="363"/>
      <c r="K34" s="363"/>
      <c r="L34" s="363">
        <f aca="true" t="shared" si="1" ref="L34:L42">E34/2</f>
        <v>512.53</v>
      </c>
      <c r="M34" s="363"/>
      <c r="N34" s="363">
        <f t="shared" si="0"/>
        <v>512.53</v>
      </c>
      <c r="O34" s="363"/>
    </row>
    <row r="35" spans="1:15" s="147" customFormat="1" ht="12.75">
      <c r="A35" s="312">
        <v>212</v>
      </c>
      <c r="B35" s="274">
        <v>41827</v>
      </c>
      <c r="C35" s="312" t="s">
        <v>636</v>
      </c>
      <c r="D35" s="312" t="s">
        <v>333</v>
      </c>
      <c r="E35" s="363">
        <v>0.03</v>
      </c>
      <c r="F35" s="312"/>
      <c r="G35" s="312" t="s">
        <v>545</v>
      </c>
      <c r="H35" s="312" t="s">
        <v>294</v>
      </c>
      <c r="I35" s="312" t="s">
        <v>494</v>
      </c>
      <c r="J35" s="363"/>
      <c r="K35" s="363"/>
      <c r="L35" s="363">
        <f t="shared" si="1"/>
        <v>0.015</v>
      </c>
      <c r="M35" s="363"/>
      <c r="N35" s="363">
        <f t="shared" si="0"/>
        <v>0.015</v>
      </c>
      <c r="O35" s="363"/>
    </row>
    <row r="36" spans="1:15" s="147" customFormat="1" ht="12.75">
      <c r="A36" s="312">
        <v>213</v>
      </c>
      <c r="B36" s="274">
        <v>41827</v>
      </c>
      <c r="C36" s="312" t="s">
        <v>637</v>
      </c>
      <c r="D36" s="312" t="s">
        <v>284</v>
      </c>
      <c r="E36" s="363">
        <v>196.18</v>
      </c>
      <c r="F36" s="312"/>
      <c r="G36" s="312" t="s">
        <v>545</v>
      </c>
      <c r="H36" s="312" t="s">
        <v>294</v>
      </c>
      <c r="I36" s="312" t="s">
        <v>494</v>
      </c>
      <c r="J36" s="363"/>
      <c r="K36" s="363"/>
      <c r="L36" s="363">
        <f t="shared" si="1"/>
        <v>98.09</v>
      </c>
      <c r="M36" s="363"/>
      <c r="N36" s="363">
        <f t="shared" si="0"/>
        <v>98.09</v>
      </c>
      <c r="O36" s="363"/>
    </row>
    <row r="37" spans="1:15" s="147" customFormat="1" ht="12.75">
      <c r="A37" s="312">
        <v>214</v>
      </c>
      <c r="B37" s="274">
        <v>41827</v>
      </c>
      <c r="C37" s="312" t="s">
        <v>638</v>
      </c>
      <c r="D37" s="312" t="s">
        <v>284</v>
      </c>
      <c r="E37" s="363">
        <v>8.26</v>
      </c>
      <c r="F37" s="312"/>
      <c r="G37" s="312" t="s">
        <v>545</v>
      </c>
      <c r="H37" s="312" t="s">
        <v>294</v>
      </c>
      <c r="I37" s="312" t="s">
        <v>494</v>
      </c>
      <c r="J37" s="363"/>
      <c r="K37" s="363"/>
      <c r="L37" s="363">
        <f t="shared" si="1"/>
        <v>4.13</v>
      </c>
      <c r="M37" s="363"/>
      <c r="N37" s="363">
        <f aca="true" t="shared" si="2" ref="N37:N55">E37/2</f>
        <v>4.13</v>
      </c>
      <c r="O37" s="363"/>
    </row>
    <row r="38" spans="1:15" s="147" customFormat="1" ht="12.75">
      <c r="A38" s="312">
        <v>235</v>
      </c>
      <c r="B38" s="274">
        <v>41883</v>
      </c>
      <c r="C38" s="312" t="s">
        <v>645</v>
      </c>
      <c r="D38" s="312" t="s">
        <v>333</v>
      </c>
      <c r="E38" s="363">
        <v>1253.55</v>
      </c>
      <c r="F38" s="312"/>
      <c r="G38" s="312" t="s">
        <v>430</v>
      </c>
      <c r="H38" s="312" t="s">
        <v>294</v>
      </c>
      <c r="I38" s="312" t="s">
        <v>431</v>
      </c>
      <c r="J38" s="363"/>
      <c r="K38" s="363"/>
      <c r="L38" s="363">
        <f t="shared" si="1"/>
        <v>626.775</v>
      </c>
      <c r="M38" s="363"/>
      <c r="N38" s="363">
        <f t="shared" si="2"/>
        <v>626.775</v>
      </c>
      <c r="O38" s="363"/>
    </row>
    <row r="39" spans="1:15" s="147" customFormat="1" ht="12.75">
      <c r="A39" s="312">
        <v>236</v>
      </c>
      <c r="B39" s="274">
        <v>41883</v>
      </c>
      <c r="C39" s="312" t="s">
        <v>646</v>
      </c>
      <c r="D39" s="312" t="s">
        <v>333</v>
      </c>
      <c r="E39" s="363">
        <v>0.59</v>
      </c>
      <c r="F39" s="312"/>
      <c r="G39" s="312" t="s">
        <v>430</v>
      </c>
      <c r="H39" s="312" t="s">
        <v>294</v>
      </c>
      <c r="I39" s="312" t="s">
        <v>431</v>
      </c>
      <c r="J39" s="363"/>
      <c r="K39" s="363"/>
      <c r="L39" s="363">
        <f t="shared" si="1"/>
        <v>0.295</v>
      </c>
      <c r="M39" s="363"/>
      <c r="N39" s="363">
        <f t="shared" si="2"/>
        <v>0.295</v>
      </c>
      <c r="O39" s="363"/>
    </row>
    <row r="40" spans="1:15" s="147" customFormat="1" ht="12.75">
      <c r="A40" s="312">
        <v>237</v>
      </c>
      <c r="B40" s="274">
        <v>41883</v>
      </c>
      <c r="C40" s="312" t="s">
        <v>647</v>
      </c>
      <c r="D40" s="312" t="s">
        <v>284</v>
      </c>
      <c r="E40" s="363">
        <v>196.76</v>
      </c>
      <c r="F40" s="312"/>
      <c r="G40" s="312" t="s">
        <v>430</v>
      </c>
      <c r="H40" s="312" t="s">
        <v>294</v>
      </c>
      <c r="I40" s="312" t="s">
        <v>431</v>
      </c>
      <c r="J40" s="363"/>
      <c r="K40" s="363"/>
      <c r="L40" s="363">
        <f t="shared" si="1"/>
        <v>98.38</v>
      </c>
      <c r="M40" s="363"/>
      <c r="N40" s="363">
        <f t="shared" si="2"/>
        <v>98.38</v>
      </c>
      <c r="O40" s="363"/>
    </row>
    <row r="41" spans="1:15" s="147" customFormat="1" ht="12.75">
      <c r="A41" s="312">
        <v>238</v>
      </c>
      <c r="B41" s="274">
        <v>41883</v>
      </c>
      <c r="C41" s="312" t="s">
        <v>648</v>
      </c>
      <c r="D41" s="312" t="s">
        <v>284</v>
      </c>
      <c r="E41" s="363">
        <v>8.34</v>
      </c>
      <c r="F41" s="312"/>
      <c r="G41" s="312" t="s">
        <v>430</v>
      </c>
      <c r="H41" s="312" t="s">
        <v>294</v>
      </c>
      <c r="I41" s="312" t="s">
        <v>431</v>
      </c>
      <c r="J41" s="363"/>
      <c r="K41" s="363"/>
      <c r="L41" s="363">
        <f t="shared" si="1"/>
        <v>4.17</v>
      </c>
      <c r="M41" s="363"/>
      <c r="N41" s="363">
        <f t="shared" si="2"/>
        <v>4.17</v>
      </c>
      <c r="O41" s="363"/>
    </row>
    <row r="42" spans="1:15" s="147" customFormat="1" ht="12.75">
      <c r="A42" s="312">
        <v>234</v>
      </c>
      <c r="B42" s="274">
        <v>41883</v>
      </c>
      <c r="C42" s="312" t="s">
        <v>522</v>
      </c>
      <c r="D42" s="312" t="s">
        <v>451</v>
      </c>
      <c r="E42" s="363">
        <v>329.89</v>
      </c>
      <c r="F42" s="312"/>
      <c r="G42" s="312" t="s">
        <v>430</v>
      </c>
      <c r="H42" s="312" t="s">
        <v>294</v>
      </c>
      <c r="I42" s="312" t="s">
        <v>494</v>
      </c>
      <c r="J42" s="363"/>
      <c r="K42" s="363"/>
      <c r="L42" s="363">
        <f t="shared" si="1"/>
        <v>164.945</v>
      </c>
      <c r="M42" s="363"/>
      <c r="N42" s="363">
        <f t="shared" si="2"/>
        <v>164.945</v>
      </c>
      <c r="O42" s="363"/>
    </row>
    <row r="43" spans="1:15" s="147" customFormat="1" ht="12.75">
      <c r="A43" s="312">
        <v>282</v>
      </c>
      <c r="B43" s="274">
        <v>41918</v>
      </c>
      <c r="C43" s="312" t="s">
        <v>986</v>
      </c>
      <c r="D43" s="312" t="s">
        <v>599</v>
      </c>
      <c r="E43" s="363">
        <v>200</v>
      </c>
      <c r="F43" s="312"/>
      <c r="G43" s="312" t="s">
        <v>545</v>
      </c>
      <c r="H43" s="312" t="s">
        <v>294</v>
      </c>
      <c r="I43" s="312" t="s">
        <v>693</v>
      </c>
      <c r="J43" s="363"/>
      <c r="K43" s="363"/>
      <c r="L43" s="363"/>
      <c r="M43" s="363">
        <f>E43/2</f>
        <v>100</v>
      </c>
      <c r="N43" s="363">
        <f t="shared" si="2"/>
        <v>100</v>
      </c>
      <c r="O43" s="363"/>
    </row>
    <row r="44" spans="1:15" s="147" customFormat="1" ht="12.75">
      <c r="A44" s="312">
        <v>291</v>
      </c>
      <c r="B44" s="274">
        <v>41946</v>
      </c>
      <c r="C44" s="312" t="s">
        <v>999</v>
      </c>
      <c r="D44" s="312" t="s">
        <v>388</v>
      </c>
      <c r="E44" s="363">
        <v>3974.83</v>
      </c>
      <c r="F44" s="312"/>
      <c r="G44" s="312" t="s">
        <v>430</v>
      </c>
      <c r="H44" s="312" t="s">
        <v>294</v>
      </c>
      <c r="I44" s="312" t="s">
        <v>431</v>
      </c>
      <c r="J44" s="363"/>
      <c r="K44" s="363"/>
      <c r="L44" s="363">
        <f aca="true" t="shared" si="3" ref="L44:L49">E44/2</f>
        <v>1987.415</v>
      </c>
      <c r="M44" s="363"/>
      <c r="N44" s="363">
        <f t="shared" si="2"/>
        <v>1987.415</v>
      </c>
      <c r="O44" s="363"/>
    </row>
    <row r="45" spans="1:15" s="147" customFormat="1" ht="12.75">
      <c r="A45" s="312">
        <v>294</v>
      </c>
      <c r="B45" s="274">
        <v>41946</v>
      </c>
      <c r="C45" s="312" t="s">
        <v>1007</v>
      </c>
      <c r="D45" s="312" t="s">
        <v>388</v>
      </c>
      <c r="E45" s="363">
        <v>0.33</v>
      </c>
      <c r="F45" s="312"/>
      <c r="G45" s="312" t="s">
        <v>430</v>
      </c>
      <c r="H45" s="312" t="s">
        <v>294</v>
      </c>
      <c r="I45" s="312" t="s">
        <v>431</v>
      </c>
      <c r="J45" s="363"/>
      <c r="K45" s="363"/>
      <c r="L45" s="363">
        <f t="shared" si="3"/>
        <v>0.165</v>
      </c>
      <c r="M45" s="363"/>
      <c r="N45" s="363">
        <f t="shared" si="2"/>
        <v>0.165</v>
      </c>
      <c r="O45" s="363"/>
    </row>
    <row r="46" spans="1:15" s="147" customFormat="1" ht="12.75">
      <c r="A46" s="312">
        <v>295</v>
      </c>
      <c r="B46" s="274">
        <v>41946</v>
      </c>
      <c r="C46" s="312" t="s">
        <v>1008</v>
      </c>
      <c r="D46" s="312" t="s">
        <v>284</v>
      </c>
      <c r="E46" s="363">
        <v>760.82</v>
      </c>
      <c r="F46" s="312"/>
      <c r="G46" s="312" t="s">
        <v>430</v>
      </c>
      <c r="H46" s="312" t="s">
        <v>294</v>
      </c>
      <c r="I46" s="312" t="s">
        <v>431</v>
      </c>
      <c r="J46" s="363"/>
      <c r="K46" s="363"/>
      <c r="L46" s="363">
        <f t="shared" si="3"/>
        <v>380.41</v>
      </c>
      <c r="M46" s="363"/>
      <c r="N46" s="363">
        <f t="shared" si="2"/>
        <v>380.41</v>
      </c>
      <c r="O46" s="363"/>
    </row>
    <row r="47" spans="1:15" s="147" customFormat="1" ht="12.75">
      <c r="A47" s="312">
        <v>296</v>
      </c>
      <c r="B47" s="274">
        <v>41946</v>
      </c>
      <c r="C47" s="312" t="s">
        <v>1009</v>
      </c>
      <c r="D47" s="312" t="s">
        <v>284</v>
      </c>
      <c r="E47" s="363">
        <v>12.32</v>
      </c>
      <c r="F47" s="312"/>
      <c r="G47" s="312" t="s">
        <v>430</v>
      </c>
      <c r="H47" s="312" t="s">
        <v>294</v>
      </c>
      <c r="I47" s="312" t="s">
        <v>431</v>
      </c>
      <c r="J47" s="363"/>
      <c r="K47" s="363"/>
      <c r="L47" s="363">
        <f t="shared" si="3"/>
        <v>6.16</v>
      </c>
      <c r="M47" s="363"/>
      <c r="N47" s="363">
        <f t="shared" si="2"/>
        <v>6.16</v>
      </c>
      <c r="O47" s="363"/>
    </row>
    <row r="48" spans="1:15" s="147" customFormat="1" ht="12.75">
      <c r="A48" s="312">
        <v>303</v>
      </c>
      <c r="B48" s="274">
        <v>41953</v>
      </c>
      <c r="C48" s="312" t="s">
        <v>944</v>
      </c>
      <c r="D48" s="312" t="s">
        <v>990</v>
      </c>
      <c r="E48" s="363">
        <v>507.52</v>
      </c>
      <c r="F48" s="312"/>
      <c r="G48" s="312" t="s">
        <v>430</v>
      </c>
      <c r="H48" s="312" t="s">
        <v>294</v>
      </c>
      <c r="I48" s="312" t="s">
        <v>494</v>
      </c>
      <c r="J48" s="363"/>
      <c r="K48" s="363"/>
      <c r="L48" s="363">
        <f t="shared" si="3"/>
        <v>253.76</v>
      </c>
      <c r="M48" s="363"/>
      <c r="N48" s="363">
        <f t="shared" si="2"/>
        <v>253.76</v>
      </c>
      <c r="O48" s="363"/>
    </row>
    <row r="49" spans="1:15" s="147" customFormat="1" ht="12.75">
      <c r="A49" s="312">
        <v>319</v>
      </c>
      <c r="B49" s="274">
        <v>41992</v>
      </c>
      <c r="C49" s="312" t="s">
        <v>957</v>
      </c>
      <c r="D49" s="312" t="s">
        <v>333</v>
      </c>
      <c r="E49" s="363">
        <v>3588</v>
      </c>
      <c r="F49" s="312"/>
      <c r="G49" s="312" t="s">
        <v>430</v>
      </c>
      <c r="H49" s="312" t="s">
        <v>294</v>
      </c>
      <c r="I49" s="312" t="s">
        <v>431</v>
      </c>
      <c r="J49" s="363"/>
      <c r="K49" s="363"/>
      <c r="L49" s="363">
        <f t="shared" si="3"/>
        <v>1794</v>
      </c>
      <c r="M49" s="363"/>
      <c r="N49" s="363">
        <f t="shared" si="2"/>
        <v>1794</v>
      </c>
      <c r="O49" s="363"/>
    </row>
    <row r="50" spans="1:15" s="147" customFormat="1" ht="12.75">
      <c r="A50" s="312">
        <v>329</v>
      </c>
      <c r="B50" s="274">
        <v>42002</v>
      </c>
      <c r="C50" s="312" t="s">
        <v>963</v>
      </c>
      <c r="D50" s="312" t="s">
        <v>599</v>
      </c>
      <c r="E50" s="363">
        <v>111.86</v>
      </c>
      <c r="F50" s="312"/>
      <c r="G50" s="312" t="s">
        <v>545</v>
      </c>
      <c r="H50" s="312" t="s">
        <v>294</v>
      </c>
      <c r="I50" s="312" t="s">
        <v>693</v>
      </c>
      <c r="J50" s="363"/>
      <c r="K50" s="363"/>
      <c r="L50" s="363"/>
      <c r="M50" s="363">
        <f>E50/2</f>
        <v>55.93</v>
      </c>
      <c r="N50" s="363">
        <f t="shared" si="2"/>
        <v>55.93</v>
      </c>
      <c r="O50" s="363"/>
    </row>
    <row r="51" spans="1:15" s="147" customFormat="1" ht="12.75">
      <c r="A51" s="312">
        <v>330</v>
      </c>
      <c r="B51" s="274">
        <v>42002</v>
      </c>
      <c r="C51" s="312" t="s">
        <v>1010</v>
      </c>
      <c r="D51" s="312" t="s">
        <v>284</v>
      </c>
      <c r="E51" s="363">
        <v>21.44</v>
      </c>
      <c r="F51" s="312"/>
      <c r="G51" s="312" t="s">
        <v>545</v>
      </c>
      <c r="H51" s="312" t="s">
        <v>294</v>
      </c>
      <c r="I51" s="312" t="s">
        <v>693</v>
      </c>
      <c r="J51" s="363"/>
      <c r="K51" s="363"/>
      <c r="L51" s="363"/>
      <c r="M51" s="363">
        <f>E51/2</f>
        <v>10.72</v>
      </c>
      <c r="N51" s="363">
        <f t="shared" si="2"/>
        <v>10.72</v>
      </c>
      <c r="O51" s="363"/>
    </row>
    <row r="52" spans="1:15" s="147" customFormat="1" ht="12.75">
      <c r="A52" s="312">
        <v>331</v>
      </c>
      <c r="B52" s="274">
        <v>42002</v>
      </c>
      <c r="C52" s="312" t="s">
        <v>1011</v>
      </c>
      <c r="D52" s="312" t="s">
        <v>284</v>
      </c>
      <c r="E52" s="363">
        <v>0.12</v>
      </c>
      <c r="F52" s="312"/>
      <c r="G52" s="312" t="s">
        <v>545</v>
      </c>
      <c r="H52" s="312" t="s">
        <v>294</v>
      </c>
      <c r="I52" s="312" t="s">
        <v>693</v>
      </c>
      <c r="J52" s="363"/>
      <c r="K52" s="363"/>
      <c r="L52" s="363"/>
      <c r="M52" s="363">
        <f>E52/2</f>
        <v>0.06</v>
      </c>
      <c r="N52" s="363">
        <f t="shared" si="2"/>
        <v>0.06</v>
      </c>
      <c r="O52" s="363"/>
    </row>
    <row r="53" spans="1:15" s="147" customFormat="1" ht="12.75">
      <c r="A53" s="312">
        <v>325</v>
      </c>
      <c r="B53" s="274">
        <v>42002</v>
      </c>
      <c r="C53" s="312" t="s">
        <v>962</v>
      </c>
      <c r="D53" s="312" t="s">
        <v>333</v>
      </c>
      <c r="E53" s="363">
        <v>4068.71</v>
      </c>
      <c r="F53" s="312"/>
      <c r="G53" s="312" t="s">
        <v>430</v>
      </c>
      <c r="H53" s="312" t="s">
        <v>294</v>
      </c>
      <c r="I53" s="312" t="s">
        <v>431</v>
      </c>
      <c r="J53" s="363"/>
      <c r="K53" s="363"/>
      <c r="L53" s="363">
        <f>E53/2</f>
        <v>2034.355</v>
      </c>
      <c r="M53" s="363"/>
      <c r="N53" s="363">
        <f t="shared" si="2"/>
        <v>2034.355</v>
      </c>
      <c r="O53" s="363"/>
    </row>
    <row r="54" spans="1:15" s="147" customFormat="1" ht="12.75">
      <c r="A54" s="312">
        <v>327</v>
      </c>
      <c r="B54" s="274">
        <v>42002</v>
      </c>
      <c r="C54" s="312" t="s">
        <v>1017</v>
      </c>
      <c r="D54" s="312" t="s">
        <v>284</v>
      </c>
      <c r="E54" s="363">
        <v>816.9</v>
      </c>
      <c r="F54" s="312"/>
      <c r="G54" s="312" t="s">
        <v>430</v>
      </c>
      <c r="H54" s="312" t="s">
        <v>294</v>
      </c>
      <c r="I54" s="312" t="s">
        <v>431</v>
      </c>
      <c r="J54" s="363"/>
      <c r="K54" s="363"/>
      <c r="L54" s="363">
        <f>E54/2</f>
        <v>408.45</v>
      </c>
      <c r="M54" s="363"/>
      <c r="N54" s="363">
        <f t="shared" si="2"/>
        <v>408.45</v>
      </c>
      <c r="O54" s="363"/>
    </row>
    <row r="55" spans="1:15" s="147" customFormat="1" ht="12.75">
      <c r="A55" s="312">
        <v>328</v>
      </c>
      <c r="B55" s="274">
        <v>42002</v>
      </c>
      <c r="C55" s="312" t="s">
        <v>1018</v>
      </c>
      <c r="D55" s="312" t="s">
        <v>284</v>
      </c>
      <c r="E55" s="363">
        <v>4.34</v>
      </c>
      <c r="F55" s="312"/>
      <c r="G55" s="312" t="s">
        <v>430</v>
      </c>
      <c r="H55" s="312" t="s">
        <v>294</v>
      </c>
      <c r="I55" s="312" t="s">
        <v>431</v>
      </c>
      <c r="J55" s="363"/>
      <c r="K55" s="363"/>
      <c r="L55" s="363">
        <f>E55/2</f>
        <v>2.17</v>
      </c>
      <c r="M55" s="363"/>
      <c r="N55" s="363">
        <f t="shared" si="2"/>
        <v>2.17</v>
      </c>
      <c r="O55" s="363"/>
    </row>
    <row r="56" spans="1:15" s="147" customFormat="1" ht="12.75">
      <c r="A56" s="312"/>
      <c r="B56" s="312"/>
      <c r="C56" s="312"/>
      <c r="D56" s="312"/>
      <c r="E56" s="363"/>
      <c r="F56" s="312"/>
      <c r="G56" s="312"/>
      <c r="H56" s="312"/>
      <c r="I56" s="312"/>
      <c r="J56" s="363"/>
      <c r="K56" s="363"/>
      <c r="L56" s="363"/>
      <c r="M56" s="363"/>
      <c r="N56" s="363"/>
      <c r="O56" s="363"/>
    </row>
    <row r="57" spans="5:15" s="53" customFormat="1" ht="12.75">
      <c r="E57" s="345">
        <f>SUM(E2:E56)</f>
        <v>26357.310000000005</v>
      </c>
      <c r="J57" s="345">
        <f aca="true" t="shared" si="4" ref="J57:O57">SUM(J2:J56)</f>
        <v>1714.0949999999998</v>
      </c>
      <c r="K57" s="345">
        <f t="shared" si="4"/>
        <v>0</v>
      </c>
      <c r="L57" s="345">
        <f t="shared" si="4"/>
        <v>11029.165</v>
      </c>
      <c r="M57" s="345">
        <f t="shared" si="4"/>
        <v>732.615</v>
      </c>
      <c r="N57" s="345">
        <f t="shared" si="4"/>
        <v>12881.435000000001</v>
      </c>
      <c r="O57" s="345">
        <f t="shared" si="4"/>
        <v>0</v>
      </c>
    </row>
    <row r="58" spans="5:15" ht="12.75">
      <c r="E58" s="644"/>
      <c r="J58" s="644"/>
      <c r="K58" s="644"/>
      <c r="L58" s="644"/>
      <c r="M58" s="644"/>
      <c r="N58" s="644"/>
      <c r="O58" s="644"/>
    </row>
    <row r="59" spans="9:15" ht="12.75">
      <c r="I59" s="53" t="s">
        <v>698</v>
      </c>
      <c r="J59" s="345">
        <f>N57+O57</f>
        <v>12881.435000000001</v>
      </c>
      <c r="K59" s="644"/>
      <c r="L59" s="644"/>
      <c r="M59" s="644"/>
      <c r="N59" s="644"/>
      <c r="O59" s="644"/>
    </row>
    <row r="60" spans="9:15" ht="12.75">
      <c r="I60" s="53" t="s">
        <v>699</v>
      </c>
      <c r="J60" s="345">
        <f>J57+K57+L57+M57</f>
        <v>13475.875</v>
      </c>
      <c r="K60" s="644"/>
      <c r="L60" s="644"/>
      <c r="M60" s="644"/>
      <c r="N60" s="644"/>
      <c r="O60" s="644"/>
    </row>
    <row r="61" spans="9:15" ht="12.75">
      <c r="I61" s="53" t="s">
        <v>1058</v>
      </c>
      <c r="J61" s="345">
        <f>SUM(J59:J60)</f>
        <v>26357.31</v>
      </c>
      <c r="K61" s="644"/>
      <c r="L61" s="644"/>
      <c r="M61" s="644"/>
      <c r="N61" s="644"/>
      <c r="O61" s="6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7"/>
  <sheetViews>
    <sheetView zoomScalePageLayoutView="0" workbookViewId="0" topLeftCell="A8">
      <selection activeCell="D25" sqref="D25"/>
    </sheetView>
  </sheetViews>
  <sheetFormatPr defaultColWidth="9.140625" defaultRowHeight="12.75"/>
  <cols>
    <col min="1" max="1" width="13.57421875" style="0" customWidth="1"/>
    <col min="2" max="2" width="68.8515625" style="0" customWidth="1"/>
    <col min="3" max="3" width="17.8515625" style="0" bestFit="1" customWidth="1"/>
    <col min="4" max="4" width="14.00390625" style="0" bestFit="1" customWidth="1"/>
    <col min="5" max="5" width="12.8515625" style="0" bestFit="1" customWidth="1"/>
    <col min="6" max="6" width="13.7109375" style="0" customWidth="1"/>
    <col min="7" max="7" width="38.8515625" style="0" bestFit="1" customWidth="1"/>
  </cols>
  <sheetData>
    <row r="1" spans="1:7" ht="12.75">
      <c r="A1" s="672" t="s">
        <v>317</v>
      </c>
      <c r="B1" s="672"/>
      <c r="C1" s="672"/>
      <c r="D1" s="672"/>
      <c r="E1" s="672"/>
      <c r="F1" s="672"/>
      <c r="G1" s="672"/>
    </row>
    <row r="3" spans="1:7" ht="54">
      <c r="A3" s="56" t="s">
        <v>290</v>
      </c>
      <c r="B3" s="56" t="s">
        <v>214</v>
      </c>
      <c r="C3" s="56" t="s">
        <v>210</v>
      </c>
      <c r="D3" s="56" t="s">
        <v>211</v>
      </c>
      <c r="E3" s="56" t="s">
        <v>318</v>
      </c>
      <c r="F3" s="56" t="s">
        <v>212</v>
      </c>
      <c r="G3" s="56" t="s">
        <v>213</v>
      </c>
    </row>
    <row r="6" spans="1:7" ht="13.5" thickBot="1">
      <c r="A6" s="211" t="s">
        <v>411</v>
      </c>
      <c r="B6" s="160" t="s">
        <v>412</v>
      </c>
      <c r="C6" s="160" t="s">
        <v>300</v>
      </c>
      <c r="D6" s="161">
        <v>1709.22</v>
      </c>
      <c r="E6" s="161">
        <v>0.22</v>
      </c>
      <c r="F6" s="158" t="s">
        <v>170</v>
      </c>
      <c r="G6" s="192" t="s">
        <v>44</v>
      </c>
    </row>
    <row r="7" spans="1:7" s="53" customFormat="1" ht="30.75" customHeight="1" thickBot="1" thickTop="1">
      <c r="A7" s="215" t="s">
        <v>316</v>
      </c>
      <c r="B7" s="215"/>
      <c r="C7" s="215"/>
      <c r="D7" s="216">
        <f>SUM(D6:D6)</f>
        <v>1709.22</v>
      </c>
      <c r="E7" s="216">
        <f>SUM(E6:E6)</f>
        <v>0.22</v>
      </c>
      <c r="F7" s="215"/>
      <c r="G7" s="215"/>
    </row>
    <row r="8" ht="13.5" thickTop="1"/>
    <row r="9" spans="1:7" ht="12.75">
      <c r="A9" s="335" t="s">
        <v>403</v>
      </c>
      <c r="B9" s="160" t="s">
        <v>389</v>
      </c>
      <c r="C9" s="160" t="s">
        <v>296</v>
      </c>
      <c r="D9" s="155">
        <f>1120+500</f>
        <v>1620</v>
      </c>
      <c r="E9" s="155">
        <v>0</v>
      </c>
      <c r="F9" s="160" t="s">
        <v>79</v>
      </c>
      <c r="G9" s="162" t="s">
        <v>0</v>
      </c>
    </row>
    <row r="10" spans="1:7" ht="12.75">
      <c r="A10" s="335" t="s">
        <v>404</v>
      </c>
      <c r="B10" s="241" t="s">
        <v>390</v>
      </c>
      <c r="C10" s="242" t="s">
        <v>237</v>
      </c>
      <c r="D10" s="243">
        <v>2500</v>
      </c>
      <c r="E10" s="243">
        <v>0</v>
      </c>
      <c r="F10" s="158" t="s">
        <v>52</v>
      </c>
      <c r="G10" s="192" t="s">
        <v>126</v>
      </c>
    </row>
    <row r="11" spans="1:7" ht="12.75">
      <c r="A11" s="335" t="s">
        <v>405</v>
      </c>
      <c r="B11" s="247" t="s">
        <v>391</v>
      </c>
      <c r="C11" s="247" t="s">
        <v>292</v>
      </c>
      <c r="D11" s="243">
        <v>3933.28</v>
      </c>
      <c r="E11" s="243">
        <v>0</v>
      </c>
      <c r="F11" s="160" t="s">
        <v>52</v>
      </c>
      <c r="G11" s="162" t="s">
        <v>126</v>
      </c>
    </row>
    <row r="12" spans="1:7" ht="12.75">
      <c r="A12" s="335" t="s">
        <v>406</v>
      </c>
      <c r="B12" s="152" t="s">
        <v>392</v>
      </c>
      <c r="C12" s="154" t="s">
        <v>291</v>
      </c>
      <c r="D12" s="155">
        <v>3172</v>
      </c>
      <c r="E12" s="155">
        <v>0</v>
      </c>
      <c r="F12" s="154" t="s">
        <v>232</v>
      </c>
      <c r="G12" s="154" t="s">
        <v>124</v>
      </c>
    </row>
    <row r="13" spans="1:7" ht="12.75">
      <c r="A13" s="335" t="s">
        <v>407</v>
      </c>
      <c r="B13" s="152" t="s">
        <v>399</v>
      </c>
      <c r="C13" s="160" t="s">
        <v>400</v>
      </c>
      <c r="D13" s="155">
        <v>19557</v>
      </c>
      <c r="E13" s="155">
        <v>0</v>
      </c>
      <c r="F13" s="154" t="s">
        <v>262</v>
      </c>
      <c r="G13" s="154" t="s">
        <v>401</v>
      </c>
    </row>
    <row r="14" spans="1:7" ht="12.75">
      <c r="A14" s="335" t="s">
        <v>408</v>
      </c>
      <c r="B14" s="152" t="s">
        <v>424</v>
      </c>
      <c r="C14" s="160" t="s">
        <v>400</v>
      </c>
      <c r="D14" s="155">
        <v>114262.5</v>
      </c>
      <c r="E14" s="155">
        <v>114262.5</v>
      </c>
      <c r="F14" s="154" t="s">
        <v>262</v>
      </c>
      <c r="G14" s="154" t="s">
        <v>401</v>
      </c>
    </row>
    <row r="15" spans="1:8" ht="12.75">
      <c r="A15" s="335" t="s">
        <v>409</v>
      </c>
      <c r="B15" s="152" t="s">
        <v>422</v>
      </c>
      <c r="C15" s="160" t="s">
        <v>238</v>
      </c>
      <c r="D15" s="583">
        <v>846</v>
      </c>
      <c r="E15" s="583">
        <v>0</v>
      </c>
      <c r="F15" s="160" t="s">
        <v>79</v>
      </c>
      <c r="G15" s="160" t="s">
        <v>0</v>
      </c>
      <c r="H15" s="373" t="s">
        <v>692</v>
      </c>
    </row>
    <row r="16" spans="1:7" ht="12.75">
      <c r="A16" s="335" t="s">
        <v>425</v>
      </c>
      <c r="B16" s="152" t="s">
        <v>423</v>
      </c>
      <c r="C16" s="160" t="s">
        <v>296</v>
      </c>
      <c r="D16" s="155">
        <v>1400</v>
      </c>
      <c r="E16" s="155">
        <v>0</v>
      </c>
      <c r="F16" s="160" t="s">
        <v>79</v>
      </c>
      <c r="G16" s="160" t="s">
        <v>0</v>
      </c>
    </row>
    <row r="17" spans="1:7" ht="12.75">
      <c r="A17" s="335" t="s">
        <v>426</v>
      </c>
      <c r="B17" s="152" t="s">
        <v>410</v>
      </c>
      <c r="C17" s="160" t="s">
        <v>315</v>
      </c>
      <c r="D17" s="155">
        <v>250.04</v>
      </c>
      <c r="E17" s="155">
        <v>0</v>
      </c>
      <c r="F17" s="158" t="s">
        <v>173</v>
      </c>
      <c r="G17" s="159" t="s">
        <v>171</v>
      </c>
    </row>
    <row r="18" spans="1:7" ht="13.5" thickBot="1">
      <c r="A18" s="335" t="s">
        <v>427</v>
      </c>
      <c r="B18" s="152" t="s">
        <v>420</v>
      </c>
      <c r="C18" s="160" t="s">
        <v>421</v>
      </c>
      <c r="D18" s="155">
        <v>0.28</v>
      </c>
      <c r="E18" s="155">
        <v>0.28</v>
      </c>
      <c r="F18" s="154" t="s">
        <v>116</v>
      </c>
      <c r="G18" s="154" t="s">
        <v>44</v>
      </c>
    </row>
    <row r="19" spans="1:7" ht="14.25" thickBot="1" thickTop="1">
      <c r="A19" s="215" t="s">
        <v>316</v>
      </c>
      <c r="B19" s="334"/>
      <c r="C19" s="334"/>
      <c r="D19" s="320">
        <f>SUM(D9:D18)</f>
        <v>147541.1</v>
      </c>
      <c r="E19" s="320">
        <f>SUM(E9:E18)</f>
        <v>114262.78</v>
      </c>
      <c r="F19" s="334"/>
      <c r="G19" s="334"/>
    </row>
    <row r="20" ht="13.5" thickTop="1"/>
    <row r="23" spans="1:7" ht="12.75">
      <c r="A23" s="659" t="s">
        <v>1060</v>
      </c>
      <c r="B23" s="160" t="s">
        <v>389</v>
      </c>
      <c r="C23" s="160" t="s">
        <v>296</v>
      </c>
      <c r="D23" s="155">
        <f>1120+500</f>
        <v>1620</v>
      </c>
      <c r="E23" s="394">
        <v>1620</v>
      </c>
      <c r="F23" s="160" t="s">
        <v>79</v>
      </c>
      <c r="G23" s="162" t="s">
        <v>0</v>
      </c>
    </row>
    <row r="24" spans="1:7" ht="12.75">
      <c r="A24" s="659" t="s">
        <v>1061</v>
      </c>
      <c r="B24" s="241" t="s">
        <v>390</v>
      </c>
      <c r="C24" s="242" t="s">
        <v>237</v>
      </c>
      <c r="D24" s="243">
        <v>2500</v>
      </c>
      <c r="E24" s="395">
        <v>2500</v>
      </c>
      <c r="F24" s="158" t="s">
        <v>52</v>
      </c>
      <c r="G24" s="192" t="s">
        <v>126</v>
      </c>
    </row>
    <row r="25" spans="1:7" ht="12.75">
      <c r="A25" s="659" t="s">
        <v>1062</v>
      </c>
      <c r="B25" s="247" t="s">
        <v>391</v>
      </c>
      <c r="C25" s="247" t="s">
        <v>292</v>
      </c>
      <c r="D25" s="243">
        <v>3933.28</v>
      </c>
      <c r="E25" s="395">
        <v>3933.28</v>
      </c>
      <c r="F25" s="160" t="s">
        <v>52</v>
      </c>
      <c r="G25" s="162" t="s">
        <v>126</v>
      </c>
    </row>
    <row r="26" spans="1:7" ht="12.75">
      <c r="A26" s="659" t="s">
        <v>1063</v>
      </c>
      <c r="B26" s="152" t="s">
        <v>392</v>
      </c>
      <c r="C26" s="154" t="s">
        <v>291</v>
      </c>
      <c r="D26" s="155">
        <v>3172</v>
      </c>
      <c r="E26" s="394">
        <v>3172</v>
      </c>
      <c r="F26" s="154" t="s">
        <v>232</v>
      </c>
      <c r="G26" s="154" t="s">
        <v>124</v>
      </c>
    </row>
    <row r="27" spans="1:7" ht="12.75">
      <c r="A27" s="659" t="s">
        <v>1064</v>
      </c>
      <c r="B27" s="247" t="s">
        <v>969</v>
      </c>
      <c r="C27" s="247" t="s">
        <v>215</v>
      </c>
      <c r="D27" s="243">
        <v>5.85</v>
      </c>
      <c r="E27" s="395">
        <v>5.85</v>
      </c>
      <c r="F27" s="160" t="s">
        <v>242</v>
      </c>
      <c r="G27" s="162" t="s">
        <v>243</v>
      </c>
    </row>
    <row r="28" spans="1:7" ht="12.75">
      <c r="A28" s="659" t="s">
        <v>1065</v>
      </c>
      <c r="B28" s="152" t="s">
        <v>387</v>
      </c>
      <c r="C28" s="154" t="s">
        <v>215</v>
      </c>
      <c r="D28" s="155">
        <v>25.21</v>
      </c>
      <c r="E28" s="394">
        <v>25.21</v>
      </c>
      <c r="F28" s="154" t="s">
        <v>141</v>
      </c>
      <c r="G28" s="154" t="s">
        <v>142</v>
      </c>
    </row>
    <row r="29" spans="1:7" ht="12.75">
      <c r="A29" s="659" t="s">
        <v>1066</v>
      </c>
      <c r="B29" s="152" t="s">
        <v>1077</v>
      </c>
      <c r="C29" s="160" t="s">
        <v>1078</v>
      </c>
      <c r="D29" s="155">
        <f>441.67+1000+155.54+19.05</f>
        <v>1616.26</v>
      </c>
      <c r="E29" s="394">
        <v>1616.26</v>
      </c>
      <c r="F29" s="160" t="s">
        <v>79</v>
      </c>
      <c r="G29" s="162" t="s">
        <v>0</v>
      </c>
    </row>
    <row r="30" spans="1:7" ht="12.75">
      <c r="A30" s="659" t="s">
        <v>1067</v>
      </c>
      <c r="B30" s="152" t="s">
        <v>1077</v>
      </c>
      <c r="C30" s="154" t="s">
        <v>1080</v>
      </c>
      <c r="D30" s="155">
        <v>1201</v>
      </c>
      <c r="E30" s="394">
        <v>1201</v>
      </c>
      <c r="F30" s="160" t="s">
        <v>170</v>
      </c>
      <c r="G30" s="162" t="s">
        <v>44</v>
      </c>
    </row>
    <row r="31" spans="1:7" ht="12.75">
      <c r="A31" s="659" t="s">
        <v>1068</v>
      </c>
      <c r="B31" s="152" t="s">
        <v>1079</v>
      </c>
      <c r="C31" s="160" t="s">
        <v>1078</v>
      </c>
      <c r="D31" s="155">
        <v>240.14</v>
      </c>
      <c r="E31" s="394">
        <v>240.14</v>
      </c>
      <c r="F31" s="160" t="s">
        <v>79</v>
      </c>
      <c r="G31" s="162" t="s">
        <v>0</v>
      </c>
    </row>
    <row r="32" spans="1:7" ht="12.75">
      <c r="A32" s="659" t="s">
        <v>1069</v>
      </c>
      <c r="B32" s="152" t="s">
        <v>1083</v>
      </c>
      <c r="C32" s="160" t="s">
        <v>1078</v>
      </c>
      <c r="D32" s="155">
        <v>0.36</v>
      </c>
      <c r="E32" s="394">
        <v>0.36</v>
      </c>
      <c r="F32" s="160" t="s">
        <v>79</v>
      </c>
      <c r="G32" s="160" t="s">
        <v>0</v>
      </c>
    </row>
    <row r="33" spans="4:5" ht="12.75">
      <c r="D33" s="54">
        <f>SUM(D23:D32)</f>
        <v>14314.1</v>
      </c>
      <c r="E33" s="54">
        <f>SUM(E23:E32)</f>
        <v>14314.1</v>
      </c>
    </row>
    <row r="34" ht="13.5" thickBot="1"/>
    <row r="35" spans="4:5" ht="14.25" thickBot="1" thickTop="1">
      <c r="D35" s="216">
        <f>D7+D19+D33</f>
        <v>163564.42</v>
      </c>
      <c r="E35" s="216">
        <f>E7+E19+E33</f>
        <v>128577.1</v>
      </c>
    </row>
    <row r="36" ht="13.5" thickTop="1"/>
    <row r="37" ht="12.75">
      <c r="D37" s="52"/>
    </row>
  </sheetData>
  <sheetProtection/>
  <mergeCells count="1">
    <mergeCell ref="A1:G1"/>
  </mergeCells>
  <printOptions/>
  <pageMargins left="0.33" right="0.2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8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59.00390625" style="51" bestFit="1" customWidth="1"/>
    <col min="2" max="2" width="15.7109375" style="51" customWidth="1"/>
    <col min="3" max="3" width="16.140625" style="51" bestFit="1" customWidth="1"/>
    <col min="4" max="4" width="12.8515625" style="51" bestFit="1" customWidth="1"/>
    <col min="5" max="5" width="24.57421875" style="51" bestFit="1" customWidth="1"/>
    <col min="6" max="6" width="25.8515625" style="51" customWidth="1"/>
    <col min="7" max="16384" width="9.140625" style="51" customWidth="1"/>
  </cols>
  <sheetData>
    <row r="1" spans="1:6" s="53" customFormat="1" ht="12.75">
      <c r="A1" s="672" t="s">
        <v>930</v>
      </c>
      <c r="B1" s="672"/>
      <c r="C1" s="672"/>
      <c r="D1" s="141"/>
      <c r="E1" s="141"/>
      <c r="F1" s="141"/>
    </row>
    <row r="2" spans="1:6" ht="12.75">
      <c r="A2" s="672"/>
      <c r="B2" s="672"/>
      <c r="C2" s="672"/>
      <c r="D2" s="83"/>
      <c r="E2" s="83"/>
      <c r="F2" s="83"/>
    </row>
    <row r="3" spans="1:6" ht="12.75">
      <c r="A3" s="84"/>
      <c r="B3" s="84"/>
      <c r="C3" s="84"/>
      <c r="D3" s="83"/>
      <c r="E3" s="83"/>
      <c r="F3" s="83"/>
    </row>
    <row r="4" spans="1:6" ht="12.75">
      <c r="A4" s="84" t="s">
        <v>546</v>
      </c>
      <c r="B4" s="84"/>
      <c r="C4" s="84"/>
      <c r="D4" s="83"/>
      <c r="E4" s="83"/>
      <c r="F4" s="83"/>
    </row>
    <row r="5" spans="1:6" ht="12.75">
      <c r="A5" s="84"/>
      <c r="B5" s="84"/>
      <c r="C5" s="84"/>
      <c r="D5" s="83"/>
      <c r="E5" s="83"/>
      <c r="F5" s="83"/>
    </row>
    <row r="6" spans="1:6" ht="12.75">
      <c r="A6" s="51" t="s">
        <v>931</v>
      </c>
      <c r="C6" s="55">
        <v>47046.76</v>
      </c>
      <c r="F6" s="226"/>
    </row>
    <row r="7" spans="1:6" ht="12.75">
      <c r="A7" s="51" t="s">
        <v>932</v>
      </c>
      <c r="C7" s="55">
        <v>51850.85</v>
      </c>
      <c r="F7" s="226"/>
    </row>
    <row r="8" spans="3:6" ht="12.75">
      <c r="C8" s="55"/>
      <c r="F8" s="226"/>
    </row>
    <row r="9" spans="1:6" ht="12.75">
      <c r="A9" s="51" t="s">
        <v>244</v>
      </c>
      <c r="C9" s="55">
        <f>'GIORNALE DELLE ENTRATE'!$E$134</f>
        <v>314397.65</v>
      </c>
      <c r="E9" s="193"/>
      <c r="F9" s="55"/>
    </row>
    <row r="10" ht="12.75">
      <c r="C10" s="237"/>
    </row>
    <row r="11" spans="1:6" ht="12.75">
      <c r="A11" s="51" t="s">
        <v>245</v>
      </c>
      <c r="C11" s="256">
        <f>'GIORNALE DELLE SPESE'!$E$341</f>
        <v>366041.56000000006</v>
      </c>
      <c r="F11" s="55"/>
    </row>
    <row r="12" spans="3:6" ht="12.75">
      <c r="C12" s="237"/>
      <c r="F12" s="55"/>
    </row>
    <row r="13" spans="1:5" ht="12.75">
      <c r="A13" s="53" t="s">
        <v>246</v>
      </c>
      <c r="B13" s="53"/>
      <c r="C13" s="54">
        <f>C6+C7+C9-C11</f>
        <v>47253.69999999995</v>
      </c>
      <c r="D13" s="55"/>
      <c r="E13" s="55"/>
    </row>
    <row r="16" spans="1:3" s="188" customFormat="1" ht="12.75">
      <c r="A16" s="188" t="s">
        <v>970</v>
      </c>
      <c r="C16" s="197">
        <v>43698.91</v>
      </c>
    </row>
    <row r="17" spans="1:3" s="188" customFormat="1" ht="12.75">
      <c r="A17" s="188" t="s">
        <v>971</v>
      </c>
      <c r="C17" s="197">
        <v>3554.79</v>
      </c>
    </row>
    <row r="18" spans="1:5" s="188" customFormat="1" ht="12.75">
      <c r="A18" s="251" t="s">
        <v>271</v>
      </c>
      <c r="C18" s="252">
        <f>SUM(C16:C17)</f>
        <v>47253.700000000004</v>
      </c>
      <c r="E18" s="197">
        <f>C13-C18</f>
        <v>0</v>
      </c>
    </row>
    <row r="19" spans="5:6" ht="12.75">
      <c r="E19" s="188"/>
      <c r="F19" s="188"/>
    </row>
    <row r="20" spans="5:6" ht="12.75">
      <c r="E20" s="188"/>
      <c r="F20" s="197"/>
    </row>
    <row r="22" spans="1:6" ht="12.75">
      <c r="A22" s="84" t="s">
        <v>550</v>
      </c>
      <c r="F22" s="55"/>
    </row>
    <row r="23" ht="12.75">
      <c r="C23" s="188"/>
    </row>
    <row r="24" spans="1:5" ht="12.75">
      <c r="A24" s="51" t="s">
        <v>1100</v>
      </c>
      <c r="C24" s="197">
        <f>C18</f>
        <v>47253.700000000004</v>
      </c>
      <c r="E24" s="143"/>
    </row>
    <row r="25" spans="3:5" ht="12.75">
      <c r="C25" s="188"/>
      <c r="E25" s="85"/>
    </row>
    <row r="26" spans="1:6" ht="12.75">
      <c r="A26" s="51" t="s">
        <v>247</v>
      </c>
      <c r="B26" s="51" t="s">
        <v>248</v>
      </c>
      <c r="C26" s="197">
        <f>accertamenti!$F$44</f>
        <v>198450.55</v>
      </c>
      <c r="F26" s="55"/>
    </row>
    <row r="27" spans="3:5" ht="12.75">
      <c r="C27" s="188"/>
      <c r="E27" s="85"/>
    </row>
    <row r="28" spans="1:6" ht="12.75">
      <c r="A28" s="51" t="s">
        <v>249</v>
      </c>
      <c r="B28" s="51" t="s">
        <v>250</v>
      </c>
      <c r="C28" s="197">
        <f>IMPEGNI!$E$35</f>
        <v>128577.1</v>
      </c>
      <c r="E28" s="144"/>
      <c r="F28" s="55"/>
    </row>
    <row r="29" ht="12.75">
      <c r="C29" s="188"/>
    </row>
    <row r="30" ht="12.75">
      <c r="C30" s="188"/>
    </row>
    <row r="31" spans="1:6" ht="12.75">
      <c r="A31" s="53" t="s">
        <v>1099</v>
      </c>
      <c r="B31" s="53"/>
      <c r="C31" s="252">
        <f>C24+C26-C28</f>
        <v>117127.15</v>
      </c>
      <c r="D31" s="193"/>
      <c r="E31" s="255"/>
      <c r="F31" s="54"/>
    </row>
    <row r="32" ht="13.5" thickBot="1">
      <c r="F32" s="55"/>
    </row>
    <row r="33" spans="1:6" ht="12.75">
      <c r="A33" s="680" t="s">
        <v>272</v>
      </c>
      <c r="B33" s="681"/>
      <c r="C33" s="682"/>
      <c r="F33" s="55"/>
    </row>
    <row r="34" spans="1:3" ht="12.75">
      <c r="A34" s="199"/>
      <c r="B34" s="200"/>
      <c r="C34" s="201"/>
    </row>
    <row r="35" spans="1:3" ht="12.75">
      <c r="A35" s="202" t="s">
        <v>273</v>
      </c>
      <c r="B35" s="203"/>
      <c r="C35" s="204">
        <f>$C$31</f>
        <v>117127.15</v>
      </c>
    </row>
    <row r="36" spans="1:5" ht="12.75">
      <c r="A36" s="205" t="s">
        <v>314</v>
      </c>
      <c r="B36" s="203"/>
      <c r="C36" s="206">
        <f>'Spese '!$I$51</f>
        <v>89098.22499999999</v>
      </c>
      <c r="E36" s="55"/>
    </row>
    <row r="37" spans="1:3" ht="12.75">
      <c r="A37" s="205" t="s">
        <v>341</v>
      </c>
      <c r="B37" s="203"/>
      <c r="C37" s="204">
        <f>'Spese '!$I$65</f>
        <v>19924.014999999985</v>
      </c>
    </row>
    <row r="38" spans="1:3" ht="12.75">
      <c r="A38" s="207"/>
      <c r="B38" s="208"/>
      <c r="C38" s="209">
        <f>C35-C36-C37</f>
        <v>8104.910000000018</v>
      </c>
    </row>
    <row r="39" spans="1:5" ht="12.75">
      <c r="A39" s="202"/>
      <c r="B39" s="203"/>
      <c r="C39" s="210"/>
      <c r="E39" s="226"/>
    </row>
    <row r="40" spans="1:3" ht="12.75">
      <c r="A40" s="202" t="s">
        <v>700</v>
      </c>
      <c r="B40" s="203"/>
      <c r="C40" s="206">
        <v>0</v>
      </c>
    </row>
    <row r="41" ht="12.75">
      <c r="E41" s="55"/>
    </row>
    <row r="44" ht="12.75">
      <c r="B44" s="193"/>
    </row>
    <row r="46" spans="2:4" ht="12.75">
      <c r="B46" s="193"/>
      <c r="C46" s="336"/>
      <c r="D46" s="255"/>
    </row>
    <row r="47" spans="3:4" ht="12.75">
      <c r="C47" s="85"/>
      <c r="D47" s="85"/>
    </row>
    <row r="48" spans="3:4" ht="12.75">
      <c r="C48" s="85"/>
      <c r="D48" s="85"/>
    </row>
  </sheetData>
  <sheetProtection/>
  <mergeCells count="2">
    <mergeCell ref="A1:C2"/>
    <mergeCell ref="A33:C33"/>
  </mergeCells>
  <printOptions horizontalCentered="1"/>
  <pageMargins left="0.1968503937007874" right="0.15748031496062992" top="0.7480314960629921" bottom="0.7480314960629921" header="0.31496062992125984" footer="0.31496062992125984"/>
  <pageSetup fitToWidth="0" fitToHeight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="95" zoomScaleNormal="95" zoomScalePageLayoutView="0" workbookViewId="0" topLeftCell="A57">
      <selection activeCell="F90" sqref="F90"/>
    </sheetView>
  </sheetViews>
  <sheetFormatPr defaultColWidth="34.8515625" defaultRowHeight="12.75"/>
  <cols>
    <col min="1" max="1" width="13.57421875" style="147" customWidth="1"/>
    <col min="2" max="2" width="17.7109375" style="147" customWidth="1"/>
    <col min="3" max="3" width="28.57421875" style="147" customWidth="1"/>
    <col min="4" max="4" width="41.8515625" style="147" bestFit="1" customWidth="1"/>
    <col min="5" max="5" width="14.140625" style="663" bestFit="1" customWidth="1"/>
    <col min="6" max="6" width="62.28125" style="147" bestFit="1" customWidth="1"/>
    <col min="7" max="16384" width="34.8515625" style="147" customWidth="1"/>
  </cols>
  <sheetData>
    <row r="1" spans="3:6" ht="12.75">
      <c r="C1" s="683" t="s">
        <v>694</v>
      </c>
      <c r="D1" s="683"/>
      <c r="E1" s="683"/>
      <c r="F1" s="683"/>
    </row>
    <row r="3" ht="11.25" customHeight="1"/>
    <row r="4" spans="1:10" ht="12.75">
      <c r="A4" s="638" t="s">
        <v>1090</v>
      </c>
      <c r="B4" s="638" t="s">
        <v>1091</v>
      </c>
      <c r="C4" s="638" t="s">
        <v>1092</v>
      </c>
      <c r="D4" s="638" t="s">
        <v>1093</v>
      </c>
      <c r="E4" s="671" t="s">
        <v>1094</v>
      </c>
      <c r="F4" s="638" t="s">
        <v>1095</v>
      </c>
      <c r="G4" s="684" t="s">
        <v>1096</v>
      </c>
      <c r="H4" s="684"/>
      <c r="I4" s="611"/>
      <c r="J4" s="558"/>
    </row>
    <row r="5" spans="1:10" ht="12.75">
      <c r="A5" s="312">
        <v>1</v>
      </c>
      <c r="B5" s="660">
        <v>41676</v>
      </c>
      <c r="C5" s="312" t="s">
        <v>38</v>
      </c>
      <c r="D5" s="312" t="s">
        <v>183</v>
      </c>
      <c r="E5" s="664">
        <v>3500</v>
      </c>
      <c r="F5" s="152" t="s">
        <v>1073</v>
      </c>
      <c r="G5" s="312"/>
      <c r="H5" s="312"/>
      <c r="J5" s="558"/>
    </row>
    <row r="6" spans="1:10" ht="12.75">
      <c r="A6" s="312">
        <v>1</v>
      </c>
      <c r="B6" s="660">
        <v>41676</v>
      </c>
      <c r="C6" s="312" t="s">
        <v>262</v>
      </c>
      <c r="D6" s="312" t="s">
        <v>263</v>
      </c>
      <c r="E6" s="664">
        <v>3500</v>
      </c>
      <c r="F6" s="152" t="s">
        <v>1073</v>
      </c>
      <c r="G6" s="312"/>
      <c r="H6" s="312"/>
      <c r="J6" s="558"/>
    </row>
    <row r="7" spans="1:10" ht="12.75">
      <c r="A7" s="312"/>
      <c r="B7" s="660"/>
      <c r="C7" s="312"/>
      <c r="D7" s="312"/>
      <c r="E7" s="664"/>
      <c r="F7" s="152"/>
      <c r="G7" s="312"/>
      <c r="H7" s="312"/>
      <c r="J7" s="558"/>
    </row>
    <row r="8" spans="1:8" ht="25.5">
      <c r="A8" s="312">
        <v>2</v>
      </c>
      <c r="B8" s="660">
        <v>41717</v>
      </c>
      <c r="C8" s="312" t="s">
        <v>21</v>
      </c>
      <c r="D8" s="312" t="s">
        <v>191</v>
      </c>
      <c r="E8" s="664">
        <v>66.2</v>
      </c>
      <c r="F8" s="152" t="s">
        <v>703</v>
      </c>
      <c r="G8" s="312"/>
      <c r="H8" s="312"/>
    </row>
    <row r="9" spans="1:8" ht="25.5">
      <c r="A9" s="312">
        <v>2</v>
      </c>
      <c r="B9" s="660">
        <v>41717</v>
      </c>
      <c r="C9" s="312" t="s">
        <v>26</v>
      </c>
      <c r="D9" s="312" t="s">
        <v>100</v>
      </c>
      <c r="E9" s="664">
        <v>14.56</v>
      </c>
      <c r="F9" s="152" t="s">
        <v>703</v>
      </c>
      <c r="G9" s="312"/>
      <c r="H9" s="312"/>
    </row>
    <row r="10" spans="1:9" ht="25.5">
      <c r="A10" s="312">
        <v>2</v>
      </c>
      <c r="B10" s="660">
        <v>41717</v>
      </c>
      <c r="C10" s="312" t="s">
        <v>230</v>
      </c>
      <c r="D10" s="312" t="s">
        <v>143</v>
      </c>
      <c r="E10" s="664">
        <v>14.56</v>
      </c>
      <c r="F10" s="152" t="s">
        <v>703</v>
      </c>
      <c r="G10" s="312"/>
      <c r="H10" s="312"/>
      <c r="I10" s="611"/>
    </row>
    <row r="11" spans="1:8" ht="25.5">
      <c r="A11" s="312">
        <v>2</v>
      </c>
      <c r="B11" s="660">
        <v>41717</v>
      </c>
      <c r="C11" s="312" t="s">
        <v>153</v>
      </c>
      <c r="D11" s="312" t="s">
        <v>151</v>
      </c>
      <c r="E11" s="664">
        <v>3.31</v>
      </c>
      <c r="F11" s="152" t="s">
        <v>703</v>
      </c>
      <c r="G11" s="312"/>
      <c r="H11" s="312"/>
    </row>
    <row r="12" spans="1:8" ht="25.5">
      <c r="A12" s="312">
        <v>2</v>
      </c>
      <c r="B12" s="660">
        <v>41717</v>
      </c>
      <c r="C12" s="312" t="s">
        <v>207</v>
      </c>
      <c r="D12" s="312" t="s">
        <v>208</v>
      </c>
      <c r="E12" s="664">
        <v>62.89</v>
      </c>
      <c r="F12" s="152" t="s">
        <v>703</v>
      </c>
      <c r="G12" s="312"/>
      <c r="H12" s="312"/>
    </row>
    <row r="13" spans="1:8" ht="12.75">
      <c r="A13" s="312"/>
      <c r="B13" s="660"/>
      <c r="C13" s="312"/>
      <c r="D13" s="312"/>
      <c r="E13" s="664"/>
      <c r="F13" s="152"/>
      <c r="G13" s="312"/>
      <c r="H13" s="312"/>
    </row>
    <row r="14" spans="1:8" ht="12.75">
      <c r="A14" s="312">
        <v>3</v>
      </c>
      <c r="B14" s="660">
        <v>41729</v>
      </c>
      <c r="C14" s="312" t="s">
        <v>23</v>
      </c>
      <c r="D14" s="312" t="s">
        <v>297</v>
      </c>
      <c r="E14" s="665">
        <v>1.6400000000000001</v>
      </c>
      <c r="F14" s="154" t="s">
        <v>311</v>
      </c>
      <c r="G14" s="312"/>
      <c r="H14" s="312"/>
    </row>
    <row r="15" spans="1:8" ht="12.75">
      <c r="A15" s="312">
        <v>3</v>
      </c>
      <c r="B15" s="660">
        <v>41729</v>
      </c>
      <c r="C15" s="154" t="s">
        <v>153</v>
      </c>
      <c r="D15" s="312" t="s">
        <v>151</v>
      </c>
      <c r="E15" s="664">
        <v>1.64</v>
      </c>
      <c r="F15" s="154" t="s">
        <v>312</v>
      </c>
      <c r="G15" s="312"/>
      <c r="H15" s="312"/>
    </row>
    <row r="16" spans="1:8" ht="12.75">
      <c r="A16" s="312"/>
      <c r="B16" s="660"/>
      <c r="C16" s="154"/>
      <c r="D16" s="312"/>
      <c r="E16" s="664"/>
      <c r="F16" s="154"/>
      <c r="G16" s="312"/>
      <c r="H16" s="312"/>
    </row>
    <row r="17" spans="1:8" ht="12.75">
      <c r="A17" s="312">
        <v>4</v>
      </c>
      <c r="B17" s="660">
        <v>41743</v>
      </c>
      <c r="C17" s="312" t="s">
        <v>21</v>
      </c>
      <c r="D17" s="312" t="s">
        <v>191</v>
      </c>
      <c r="E17" s="664">
        <v>571.6999999999998</v>
      </c>
      <c r="F17" s="152" t="s">
        <v>704</v>
      </c>
      <c r="G17" s="312"/>
      <c r="H17" s="312"/>
    </row>
    <row r="18" spans="1:8" ht="12.75">
      <c r="A18" s="312">
        <v>4</v>
      </c>
      <c r="B18" s="660">
        <v>41743</v>
      </c>
      <c r="C18" s="312" t="s">
        <v>26</v>
      </c>
      <c r="D18" s="312" t="s">
        <v>100</v>
      </c>
      <c r="E18" s="664">
        <v>125.76999999999998</v>
      </c>
      <c r="F18" s="152" t="s">
        <v>704</v>
      </c>
      <c r="G18" s="312"/>
      <c r="H18" s="312"/>
    </row>
    <row r="19" spans="1:9" ht="12.75">
      <c r="A19" s="312">
        <v>4</v>
      </c>
      <c r="B19" s="660">
        <v>41743</v>
      </c>
      <c r="C19" s="312" t="s">
        <v>230</v>
      </c>
      <c r="D19" s="312" t="s">
        <v>143</v>
      </c>
      <c r="E19" s="664">
        <v>125.76999999999998</v>
      </c>
      <c r="F19" s="152" t="s">
        <v>704</v>
      </c>
      <c r="G19" s="312"/>
      <c r="H19" s="312"/>
      <c r="I19" s="611"/>
    </row>
    <row r="20" spans="1:8" ht="12.75">
      <c r="A20" s="312">
        <v>4</v>
      </c>
      <c r="B20" s="660">
        <v>41743</v>
      </c>
      <c r="C20" s="312" t="s">
        <v>153</v>
      </c>
      <c r="D20" s="312" t="s">
        <v>151</v>
      </c>
      <c r="E20" s="664">
        <v>28.58</v>
      </c>
      <c r="F20" s="152" t="s">
        <v>704</v>
      </c>
      <c r="G20" s="312"/>
      <c r="H20" s="312"/>
    </row>
    <row r="21" spans="1:8" ht="12.75">
      <c r="A21" s="312">
        <v>4</v>
      </c>
      <c r="B21" s="660">
        <v>41743</v>
      </c>
      <c r="C21" s="312" t="s">
        <v>207</v>
      </c>
      <c r="D21" s="312" t="s">
        <v>208</v>
      </c>
      <c r="E21" s="664">
        <v>543.12</v>
      </c>
      <c r="F21" s="152" t="s">
        <v>704</v>
      </c>
      <c r="G21" s="312"/>
      <c r="H21" s="312"/>
    </row>
    <row r="22" spans="1:8" ht="12.75">
      <c r="A22" s="312"/>
      <c r="B22" s="660"/>
      <c r="C22" s="312"/>
      <c r="D22" s="312"/>
      <c r="E22" s="664"/>
      <c r="F22" s="152"/>
      <c r="G22" s="312"/>
      <c r="H22" s="312"/>
    </row>
    <row r="23" spans="1:9" ht="12.75">
      <c r="A23" s="312">
        <v>5</v>
      </c>
      <c r="B23" s="660">
        <v>41759</v>
      </c>
      <c r="C23" s="312" t="s">
        <v>11</v>
      </c>
      <c r="D23" s="312" t="s">
        <v>4</v>
      </c>
      <c r="E23" s="664">
        <v>165003.97999999998</v>
      </c>
      <c r="F23" s="154" t="s">
        <v>701</v>
      </c>
      <c r="G23" s="312"/>
      <c r="H23" s="312"/>
      <c r="I23" s="611"/>
    </row>
    <row r="24" spans="1:8" ht="12.75">
      <c r="A24" s="312">
        <v>5</v>
      </c>
      <c r="B24" s="660">
        <v>41759</v>
      </c>
      <c r="C24" s="312" t="s">
        <v>153</v>
      </c>
      <c r="D24" s="312" t="s">
        <v>151</v>
      </c>
      <c r="E24" s="664">
        <v>4122.550000000047</v>
      </c>
      <c r="F24" s="154" t="s">
        <v>719</v>
      </c>
      <c r="G24" s="312"/>
      <c r="H24" s="312"/>
    </row>
    <row r="25" spans="1:8" ht="12.75">
      <c r="A25" s="312">
        <v>5</v>
      </c>
      <c r="B25" s="660">
        <v>41759</v>
      </c>
      <c r="C25" s="312" t="s">
        <v>207</v>
      </c>
      <c r="D25" s="312" t="s">
        <v>208</v>
      </c>
      <c r="E25" s="664">
        <v>100602.33999999997</v>
      </c>
      <c r="F25" s="154" t="s">
        <v>701</v>
      </c>
      <c r="G25" s="312"/>
      <c r="H25" s="312"/>
    </row>
    <row r="26" spans="1:8" ht="12.75">
      <c r="A26" s="312">
        <v>5</v>
      </c>
      <c r="B26" s="660">
        <v>41759</v>
      </c>
      <c r="C26" s="312" t="s">
        <v>262</v>
      </c>
      <c r="D26" s="312" t="s">
        <v>263</v>
      </c>
      <c r="E26" s="664">
        <v>60279.08999999997</v>
      </c>
      <c r="F26" s="154" t="s">
        <v>701</v>
      </c>
      <c r="G26" s="312"/>
      <c r="H26" s="312"/>
    </row>
    <row r="27" spans="1:8" ht="12.75">
      <c r="A27" s="312"/>
      <c r="B27" s="660"/>
      <c r="C27" s="312"/>
      <c r="D27" s="312"/>
      <c r="E27" s="664"/>
      <c r="F27" s="154"/>
      <c r="G27" s="312"/>
      <c r="H27" s="312"/>
    </row>
    <row r="28" spans="1:8" ht="12.75">
      <c r="A28" s="312">
        <v>6</v>
      </c>
      <c r="B28" s="660">
        <v>41772</v>
      </c>
      <c r="C28" s="312" t="s">
        <v>38</v>
      </c>
      <c r="D28" s="312" t="s">
        <v>183</v>
      </c>
      <c r="E28" s="664">
        <v>6610.46</v>
      </c>
      <c r="F28" s="152" t="s">
        <v>718</v>
      </c>
      <c r="G28" s="196"/>
      <c r="H28" s="352"/>
    </row>
    <row r="29" spans="1:8" ht="12.75">
      <c r="A29" s="312">
        <v>6</v>
      </c>
      <c r="B29" s="660">
        <v>41772</v>
      </c>
      <c r="C29" s="312" t="s">
        <v>153</v>
      </c>
      <c r="D29" s="312" t="s">
        <v>151</v>
      </c>
      <c r="E29" s="664">
        <v>198.31380000000001</v>
      </c>
      <c r="F29" s="152" t="s">
        <v>718</v>
      </c>
      <c r="G29" s="312"/>
      <c r="H29" s="312"/>
    </row>
    <row r="30" spans="1:8" ht="12.75">
      <c r="A30" s="312">
        <v>6</v>
      </c>
      <c r="B30" s="660">
        <v>41772</v>
      </c>
      <c r="C30" s="312" t="s">
        <v>262</v>
      </c>
      <c r="D30" s="312" t="s">
        <v>263</v>
      </c>
      <c r="E30" s="664">
        <v>6412.15</v>
      </c>
      <c r="F30" s="152" t="s">
        <v>718</v>
      </c>
      <c r="G30" s="312"/>
      <c r="H30" s="312"/>
    </row>
    <row r="31" spans="1:8" ht="12.75">
      <c r="A31" s="312"/>
      <c r="B31" s="660"/>
      <c r="C31" s="312"/>
      <c r="D31" s="312"/>
      <c r="E31" s="664"/>
      <c r="F31" s="152"/>
      <c r="G31" s="312"/>
      <c r="H31" s="312"/>
    </row>
    <row r="32" spans="1:8" ht="12.75">
      <c r="A32" s="312">
        <v>7</v>
      </c>
      <c r="B32" s="660">
        <v>41820</v>
      </c>
      <c r="C32" s="312" t="s">
        <v>23</v>
      </c>
      <c r="D32" s="312" t="s">
        <v>297</v>
      </c>
      <c r="E32" s="665">
        <v>0.67</v>
      </c>
      <c r="F32" s="154" t="s">
        <v>311</v>
      </c>
      <c r="G32" s="312"/>
      <c r="H32" s="312"/>
    </row>
    <row r="33" spans="1:8" ht="12.75">
      <c r="A33" s="312">
        <v>7</v>
      </c>
      <c r="B33" s="660">
        <v>41820</v>
      </c>
      <c r="C33" s="154" t="s">
        <v>153</v>
      </c>
      <c r="D33" s="312" t="s">
        <v>151</v>
      </c>
      <c r="E33" s="664">
        <v>0.67</v>
      </c>
      <c r="F33" s="154" t="s">
        <v>312</v>
      </c>
      <c r="G33" s="312"/>
      <c r="H33" s="312"/>
    </row>
    <row r="34" spans="1:8" ht="12.75">
      <c r="A34" s="312"/>
      <c r="B34" s="660"/>
      <c r="C34" s="154"/>
      <c r="D34" s="312"/>
      <c r="E34" s="664"/>
      <c r="F34" s="154"/>
      <c r="G34" s="312"/>
      <c r="H34" s="312"/>
    </row>
    <row r="35" spans="1:8" ht="12.75">
      <c r="A35" s="312">
        <v>8</v>
      </c>
      <c r="B35" s="660">
        <v>41849</v>
      </c>
      <c r="C35" s="312" t="s">
        <v>38</v>
      </c>
      <c r="D35" s="312" t="s">
        <v>183</v>
      </c>
      <c r="E35" s="664">
        <v>53167.83</v>
      </c>
      <c r="F35" s="152" t="s">
        <v>709</v>
      </c>
      <c r="G35" s="312"/>
      <c r="H35" s="312"/>
    </row>
    <row r="36" spans="1:8" ht="12.75">
      <c r="A36" s="312">
        <v>8</v>
      </c>
      <c r="B36" s="660">
        <v>41849</v>
      </c>
      <c r="C36" s="312" t="s">
        <v>262</v>
      </c>
      <c r="D36" s="312" t="s">
        <v>263</v>
      </c>
      <c r="E36" s="664">
        <v>53167.83</v>
      </c>
      <c r="F36" s="152" t="s">
        <v>709</v>
      </c>
      <c r="G36" s="152"/>
      <c r="H36" s="312"/>
    </row>
    <row r="37" spans="1:8" ht="12.75">
      <c r="A37" s="312"/>
      <c r="B37" s="660"/>
      <c r="C37" s="312"/>
      <c r="D37" s="312"/>
      <c r="E37" s="664"/>
      <c r="F37" s="152"/>
      <c r="G37" s="152"/>
      <c r="H37" s="312"/>
    </row>
    <row r="38" spans="1:8" ht="12.75">
      <c r="A38" s="312">
        <v>9</v>
      </c>
      <c r="B38" s="660">
        <v>41849</v>
      </c>
      <c r="C38" s="312" t="s">
        <v>38</v>
      </c>
      <c r="D38" s="312" t="s">
        <v>183</v>
      </c>
      <c r="E38" s="664">
        <v>-6702.109999999999</v>
      </c>
      <c r="F38" s="152" t="s">
        <v>710</v>
      </c>
      <c r="G38" s="194">
        <f>60367.62-53167.83</f>
        <v>7199.790000000001</v>
      </c>
      <c r="H38" s="152" t="s">
        <v>711</v>
      </c>
    </row>
    <row r="39" spans="1:8" ht="12.75">
      <c r="A39" s="312">
        <v>9</v>
      </c>
      <c r="B39" s="660">
        <v>41849</v>
      </c>
      <c r="C39" s="312" t="s">
        <v>153</v>
      </c>
      <c r="D39" s="312" t="s">
        <v>151</v>
      </c>
      <c r="E39" s="664">
        <v>-201.06</v>
      </c>
      <c r="F39" s="152" t="s">
        <v>710</v>
      </c>
      <c r="G39" s="194">
        <v>13901.9</v>
      </c>
      <c r="H39" s="152" t="s">
        <v>712</v>
      </c>
    </row>
    <row r="40" spans="1:8" ht="12.75">
      <c r="A40" s="312">
        <v>9</v>
      </c>
      <c r="B40" s="660">
        <v>41849</v>
      </c>
      <c r="C40" s="312" t="s">
        <v>262</v>
      </c>
      <c r="D40" s="312" t="s">
        <v>263</v>
      </c>
      <c r="E40" s="664">
        <v>-6501.05</v>
      </c>
      <c r="F40" s="152" t="s">
        <v>710</v>
      </c>
      <c r="G40" s="312"/>
      <c r="H40" s="312"/>
    </row>
    <row r="41" spans="1:8" ht="12.75">
      <c r="A41" s="312"/>
      <c r="B41" s="660"/>
      <c r="C41" s="312"/>
      <c r="D41" s="312"/>
      <c r="E41" s="664"/>
      <c r="F41" s="152"/>
      <c r="G41" s="312"/>
      <c r="H41" s="312"/>
    </row>
    <row r="42" spans="1:8" ht="12.75">
      <c r="A42" s="312">
        <v>10</v>
      </c>
      <c r="B42" s="660">
        <v>41862</v>
      </c>
      <c r="C42" s="312" t="s">
        <v>38</v>
      </c>
      <c r="D42" s="312" t="s">
        <v>183</v>
      </c>
      <c r="E42" s="664">
        <v>26000</v>
      </c>
      <c r="F42" s="152" t="s">
        <v>933</v>
      </c>
      <c r="G42" s="312"/>
      <c r="H42" s="312"/>
    </row>
    <row r="43" spans="1:8" ht="12.75">
      <c r="A43" s="312">
        <v>10</v>
      </c>
      <c r="B43" s="660">
        <v>41862</v>
      </c>
      <c r="C43" s="312" t="s">
        <v>262</v>
      </c>
      <c r="D43" s="312" t="s">
        <v>263</v>
      </c>
      <c r="E43" s="664">
        <v>26000</v>
      </c>
      <c r="F43" s="152" t="s">
        <v>933</v>
      </c>
      <c r="G43" s="312"/>
      <c r="H43" s="312"/>
    </row>
    <row r="44" spans="1:8" ht="12.75">
      <c r="A44" s="312"/>
      <c r="B44" s="660"/>
      <c r="C44" s="312"/>
      <c r="D44" s="312"/>
      <c r="E44" s="664"/>
      <c r="F44" s="152"/>
      <c r="G44" s="312"/>
      <c r="H44" s="312"/>
    </row>
    <row r="45" spans="1:8" ht="12.75">
      <c r="A45" s="312">
        <v>11</v>
      </c>
      <c r="B45" s="660">
        <v>41912</v>
      </c>
      <c r="C45" s="312" t="s">
        <v>23</v>
      </c>
      <c r="D45" s="312" t="s">
        <v>297</v>
      </c>
      <c r="E45" s="665">
        <v>1.06</v>
      </c>
      <c r="F45" s="154" t="s">
        <v>311</v>
      </c>
      <c r="G45" s="312"/>
      <c r="H45" s="312"/>
    </row>
    <row r="46" spans="1:8" ht="12.75">
      <c r="A46" s="312">
        <v>11</v>
      </c>
      <c r="B46" s="660">
        <v>41912</v>
      </c>
      <c r="C46" s="154" t="s">
        <v>153</v>
      </c>
      <c r="D46" s="312" t="s">
        <v>151</v>
      </c>
      <c r="E46" s="664">
        <v>1.06</v>
      </c>
      <c r="F46" s="154" t="s">
        <v>312</v>
      </c>
      <c r="G46" s="312"/>
      <c r="H46" s="312"/>
    </row>
    <row r="47" spans="1:8" ht="12.75">
      <c r="A47" s="312"/>
      <c r="B47" s="660"/>
      <c r="C47" s="154"/>
      <c r="D47" s="312"/>
      <c r="E47" s="664"/>
      <c r="F47" s="154"/>
      <c r="G47" s="312"/>
      <c r="H47" s="312"/>
    </row>
    <row r="48" spans="1:10" ht="12.75">
      <c r="A48" s="312">
        <v>12</v>
      </c>
      <c r="B48" s="660">
        <v>41996</v>
      </c>
      <c r="C48" s="312" t="s">
        <v>38</v>
      </c>
      <c r="D48" s="312" t="s">
        <v>183</v>
      </c>
      <c r="E48" s="664">
        <v>3154.75</v>
      </c>
      <c r="F48" s="152" t="s">
        <v>933</v>
      </c>
      <c r="G48" s="312"/>
      <c r="H48" s="312"/>
      <c r="J48" s="558"/>
    </row>
    <row r="49" spans="1:10" ht="12.75">
      <c r="A49" s="312">
        <v>12</v>
      </c>
      <c r="B49" s="660">
        <v>41996</v>
      </c>
      <c r="C49" s="312" t="s">
        <v>262</v>
      </c>
      <c r="D49" s="312" t="s">
        <v>263</v>
      </c>
      <c r="E49" s="664">
        <v>3154.75</v>
      </c>
      <c r="F49" s="152" t="s">
        <v>933</v>
      </c>
      <c r="G49" s="312"/>
      <c r="H49" s="312"/>
      <c r="J49" s="558"/>
    </row>
    <row r="50" spans="1:10" ht="12.75">
      <c r="A50" s="312"/>
      <c r="B50" s="660"/>
      <c r="C50" s="312"/>
      <c r="D50" s="312"/>
      <c r="E50" s="664"/>
      <c r="F50" s="152"/>
      <c r="G50" s="312"/>
      <c r="H50" s="312"/>
      <c r="J50" s="558"/>
    </row>
    <row r="51" spans="1:8" ht="12.75">
      <c r="A51" s="312">
        <v>13</v>
      </c>
      <c r="B51" s="660">
        <v>42004</v>
      </c>
      <c r="C51" s="196" t="s">
        <v>27</v>
      </c>
      <c r="D51" s="152" t="s">
        <v>101</v>
      </c>
      <c r="E51" s="665">
        <v>36119.29</v>
      </c>
      <c r="F51" s="155" t="s">
        <v>393</v>
      </c>
      <c r="G51" s="312"/>
      <c r="H51" s="312"/>
    </row>
    <row r="52" spans="1:8" ht="12.75">
      <c r="A52" s="312">
        <v>13</v>
      </c>
      <c r="B52" s="660">
        <v>42004</v>
      </c>
      <c r="C52" s="312" t="s">
        <v>54</v>
      </c>
      <c r="D52" s="312" t="s">
        <v>275</v>
      </c>
      <c r="E52" s="665">
        <v>7500</v>
      </c>
      <c r="F52" s="155" t="s">
        <v>705</v>
      </c>
      <c r="G52" s="312"/>
      <c r="H52" s="312"/>
    </row>
    <row r="53" spans="1:8" ht="12.75">
      <c r="A53" s="312">
        <v>13</v>
      </c>
      <c r="B53" s="660">
        <v>42004</v>
      </c>
      <c r="C53" s="312" t="s">
        <v>54</v>
      </c>
      <c r="D53" s="312" t="s">
        <v>275</v>
      </c>
      <c r="E53" s="665">
        <v>3750</v>
      </c>
      <c r="F53" s="155" t="s">
        <v>716</v>
      </c>
      <c r="G53" s="194"/>
      <c r="H53" s="312"/>
    </row>
    <row r="54" spans="1:8" ht="12.75">
      <c r="A54" s="312">
        <v>13</v>
      </c>
      <c r="B54" s="660">
        <v>42004</v>
      </c>
      <c r="C54" s="196" t="s">
        <v>141</v>
      </c>
      <c r="D54" s="152" t="s">
        <v>142</v>
      </c>
      <c r="E54" s="665">
        <v>58</v>
      </c>
      <c r="F54" s="155" t="s">
        <v>707</v>
      </c>
      <c r="G54" s="194"/>
      <c r="H54" s="312"/>
    </row>
    <row r="55" spans="1:8" ht="12.75">
      <c r="A55" s="312">
        <v>13</v>
      </c>
      <c r="B55" s="660">
        <v>42004</v>
      </c>
      <c r="C55" s="196" t="s">
        <v>147</v>
      </c>
      <c r="D55" s="152" t="s">
        <v>101</v>
      </c>
      <c r="E55" s="665">
        <v>7500</v>
      </c>
      <c r="F55" s="155" t="s">
        <v>1074</v>
      </c>
      <c r="G55" s="312"/>
      <c r="H55" s="312"/>
    </row>
    <row r="56" spans="1:8" ht="12.75">
      <c r="A56" s="312">
        <v>13</v>
      </c>
      <c r="B56" s="660">
        <v>42004</v>
      </c>
      <c r="C56" s="196" t="s">
        <v>147</v>
      </c>
      <c r="D56" s="152" t="s">
        <v>101</v>
      </c>
      <c r="E56" s="665">
        <v>12977</v>
      </c>
      <c r="F56" s="155" t="s">
        <v>708</v>
      </c>
      <c r="G56" s="312"/>
      <c r="H56" s="312"/>
    </row>
    <row r="57" spans="1:8" ht="12.75">
      <c r="A57" s="312">
        <v>13</v>
      </c>
      <c r="B57" s="660">
        <v>42004</v>
      </c>
      <c r="C57" s="312" t="s">
        <v>207</v>
      </c>
      <c r="D57" s="312" t="s">
        <v>208</v>
      </c>
      <c r="E57" s="665">
        <v>3.15</v>
      </c>
      <c r="F57" s="155" t="s">
        <v>706</v>
      </c>
      <c r="G57" s="312"/>
      <c r="H57" s="312"/>
    </row>
    <row r="58" spans="1:8" ht="12.75">
      <c r="A58" s="312">
        <v>13</v>
      </c>
      <c r="B58" s="660">
        <v>42004</v>
      </c>
      <c r="C58" s="196" t="s">
        <v>262</v>
      </c>
      <c r="D58" s="152" t="s">
        <v>263</v>
      </c>
      <c r="E58" s="665">
        <v>3591.14</v>
      </c>
      <c r="F58" s="155" t="s">
        <v>1076</v>
      </c>
      <c r="G58" s="312"/>
      <c r="H58" s="312"/>
    </row>
    <row r="59" spans="1:8" ht="12.75">
      <c r="A59" s="312">
        <v>13</v>
      </c>
      <c r="B59" s="660">
        <v>42004</v>
      </c>
      <c r="C59" s="196" t="s">
        <v>262</v>
      </c>
      <c r="D59" s="152" t="s">
        <v>263</v>
      </c>
      <c r="E59" s="665">
        <v>740</v>
      </c>
      <c r="F59" s="155" t="s">
        <v>1075</v>
      </c>
      <c r="G59" s="312"/>
      <c r="H59" s="312"/>
    </row>
    <row r="60" spans="1:8" ht="12.75">
      <c r="A60" s="312"/>
      <c r="B60" s="660"/>
      <c r="C60" s="196"/>
      <c r="D60" s="152"/>
      <c r="E60" s="665"/>
      <c r="F60" s="155"/>
      <c r="G60" s="312"/>
      <c r="H60" s="312"/>
    </row>
    <row r="61" spans="1:8" ht="12.75">
      <c r="A61" s="312">
        <v>14</v>
      </c>
      <c r="B61" s="660">
        <v>42004</v>
      </c>
      <c r="C61" s="312" t="s">
        <v>23</v>
      </c>
      <c r="D61" s="312" t="s">
        <v>297</v>
      </c>
      <c r="E61" s="665">
        <v>0.98</v>
      </c>
      <c r="F61" s="154" t="s">
        <v>311</v>
      </c>
      <c r="G61" s="312"/>
      <c r="H61" s="312"/>
    </row>
    <row r="62" spans="1:8" ht="12.75">
      <c r="A62" s="312">
        <v>14</v>
      </c>
      <c r="B62" s="660">
        <v>42004</v>
      </c>
      <c r="C62" s="154" t="s">
        <v>153</v>
      </c>
      <c r="D62" s="312" t="s">
        <v>151</v>
      </c>
      <c r="E62" s="664">
        <v>0.98</v>
      </c>
      <c r="F62" s="154" t="s">
        <v>312</v>
      </c>
      <c r="G62" s="312"/>
      <c r="H62" s="312"/>
    </row>
    <row r="63" spans="1:8" ht="12.75">
      <c r="A63" s="312"/>
      <c r="B63" s="660"/>
      <c r="C63" s="154"/>
      <c r="D63" s="312"/>
      <c r="E63" s="664"/>
      <c r="F63" s="154"/>
      <c r="G63" s="312"/>
      <c r="H63" s="312"/>
    </row>
    <row r="64" spans="1:8" ht="25.5">
      <c r="A64" s="312">
        <v>15</v>
      </c>
      <c r="B64" s="660" t="s">
        <v>1000</v>
      </c>
      <c r="C64" s="312" t="s">
        <v>21</v>
      </c>
      <c r="D64" s="312" t="s">
        <v>191</v>
      </c>
      <c r="E64" s="664">
        <v>22682.949999999997</v>
      </c>
      <c r="F64" s="152" t="s">
        <v>1089</v>
      </c>
      <c r="G64" s="312"/>
      <c r="H64" s="196"/>
    </row>
    <row r="65" spans="1:8" ht="30" customHeight="1">
      <c r="A65" s="312">
        <v>15</v>
      </c>
      <c r="B65" s="660" t="s">
        <v>1000</v>
      </c>
      <c r="C65" s="312" t="s">
        <v>26</v>
      </c>
      <c r="D65" s="312" t="s">
        <v>100</v>
      </c>
      <c r="E65" s="664">
        <v>4990.25</v>
      </c>
      <c r="F65" s="152" t="s">
        <v>717</v>
      </c>
      <c r="G65" s="312"/>
      <c r="H65" s="155"/>
    </row>
    <row r="66" spans="1:8" ht="30" customHeight="1">
      <c r="A66" s="312">
        <v>15</v>
      </c>
      <c r="B66" s="660" t="s">
        <v>1000</v>
      </c>
      <c r="C66" s="312" t="s">
        <v>230</v>
      </c>
      <c r="D66" s="312" t="s">
        <v>143</v>
      </c>
      <c r="E66" s="664">
        <v>4990.25</v>
      </c>
      <c r="F66" s="152"/>
      <c r="G66" s="312"/>
      <c r="H66" s="312"/>
    </row>
    <row r="67" spans="1:8" ht="30" customHeight="1">
      <c r="A67" s="312">
        <v>15</v>
      </c>
      <c r="B67" s="660" t="s">
        <v>1000</v>
      </c>
      <c r="C67" s="312" t="s">
        <v>153</v>
      </c>
      <c r="D67" s="312" t="s">
        <v>151</v>
      </c>
      <c r="E67" s="664">
        <v>1134.1474999999998</v>
      </c>
      <c r="F67" s="152"/>
      <c r="G67" s="312"/>
      <c r="H67" s="312"/>
    </row>
    <row r="68" spans="1:8" ht="30" customHeight="1">
      <c r="A68" s="312">
        <v>15</v>
      </c>
      <c r="B68" s="660" t="s">
        <v>1000</v>
      </c>
      <c r="C68" s="312" t="s">
        <v>207</v>
      </c>
      <c r="D68" s="312" t="s">
        <v>208</v>
      </c>
      <c r="E68" s="664">
        <v>21548.8</v>
      </c>
      <c r="F68" s="152"/>
      <c r="G68" s="312"/>
      <c r="H68" s="312"/>
    </row>
    <row r="69" spans="1:8" ht="12.75" customHeight="1">
      <c r="A69" s="312"/>
      <c r="B69" s="660"/>
      <c r="C69" s="312"/>
      <c r="D69" s="312"/>
      <c r="E69" s="664"/>
      <c r="F69" s="152"/>
      <c r="G69" s="312"/>
      <c r="H69" s="312"/>
    </row>
    <row r="70" spans="1:8" ht="12.75">
      <c r="A70" s="312">
        <v>16</v>
      </c>
      <c r="B70" s="661">
        <v>42004</v>
      </c>
      <c r="C70" s="151" t="s">
        <v>115</v>
      </c>
      <c r="D70" s="152" t="s">
        <v>0</v>
      </c>
      <c r="E70" s="664">
        <v>332.24</v>
      </c>
      <c r="F70" s="154" t="s">
        <v>394</v>
      </c>
      <c r="G70" s="312"/>
      <c r="H70" s="312"/>
    </row>
    <row r="71" spans="1:8" ht="12.75">
      <c r="A71" s="312">
        <v>16</v>
      </c>
      <c r="B71" s="661">
        <v>42004</v>
      </c>
      <c r="C71" s="151" t="s">
        <v>116</v>
      </c>
      <c r="D71" s="152" t="s">
        <v>44</v>
      </c>
      <c r="E71" s="664">
        <v>-13995.16</v>
      </c>
      <c r="F71" s="154" t="s">
        <v>394</v>
      </c>
      <c r="G71" s="312"/>
      <c r="H71" s="312"/>
    </row>
    <row r="72" spans="1:8" ht="12.75">
      <c r="A72" s="312">
        <v>16</v>
      </c>
      <c r="B72" s="661">
        <v>42004</v>
      </c>
      <c r="C72" s="151" t="s">
        <v>117</v>
      </c>
      <c r="D72" s="152" t="s">
        <v>171</v>
      </c>
      <c r="E72" s="664">
        <v>-15137</v>
      </c>
      <c r="F72" s="154" t="s">
        <v>394</v>
      </c>
      <c r="G72" s="312"/>
      <c r="H72" s="312"/>
    </row>
    <row r="73" spans="1:8" ht="12.75">
      <c r="A73" s="312">
        <v>16</v>
      </c>
      <c r="B73" s="661">
        <v>42004</v>
      </c>
      <c r="C73" s="158" t="s">
        <v>79</v>
      </c>
      <c r="D73" s="152" t="s">
        <v>0</v>
      </c>
      <c r="E73" s="664">
        <v>332.24</v>
      </c>
      <c r="F73" s="154" t="s">
        <v>394</v>
      </c>
      <c r="G73" s="312"/>
      <c r="H73" s="312"/>
    </row>
    <row r="74" spans="1:8" ht="12.75">
      <c r="A74" s="312">
        <v>16</v>
      </c>
      <c r="B74" s="661">
        <v>42004</v>
      </c>
      <c r="C74" s="158" t="s">
        <v>170</v>
      </c>
      <c r="D74" s="152" t="s">
        <v>44</v>
      </c>
      <c r="E74" s="664">
        <v>-13995.16</v>
      </c>
      <c r="F74" s="154" t="s">
        <v>394</v>
      </c>
      <c r="G74" s="196"/>
      <c r="H74" s="352"/>
    </row>
    <row r="75" spans="1:8" ht="12.75" customHeight="1">
      <c r="A75" s="312">
        <v>16</v>
      </c>
      <c r="B75" s="661">
        <v>42004</v>
      </c>
      <c r="C75" s="158" t="s">
        <v>173</v>
      </c>
      <c r="D75" s="159" t="s">
        <v>171</v>
      </c>
      <c r="E75" s="664">
        <v>-15137</v>
      </c>
      <c r="F75" s="154" t="s">
        <v>394</v>
      </c>
      <c r="G75" s="312"/>
      <c r="H75" s="312"/>
    </row>
    <row r="76" spans="1:8" ht="12.75" customHeight="1">
      <c r="A76" s="312"/>
      <c r="B76" s="661"/>
      <c r="C76" s="158"/>
      <c r="D76" s="159"/>
      <c r="E76" s="664"/>
      <c r="F76" s="154"/>
      <c r="G76" s="312"/>
      <c r="H76" s="312"/>
    </row>
    <row r="77" spans="1:8" ht="12.75">
      <c r="A77" s="312">
        <v>17</v>
      </c>
      <c r="B77" s="662">
        <v>42004</v>
      </c>
      <c r="C77" s="154" t="s">
        <v>49</v>
      </c>
      <c r="D77" s="154" t="s">
        <v>124</v>
      </c>
      <c r="E77" s="665">
        <v>172</v>
      </c>
      <c r="F77" s="154" t="s">
        <v>929</v>
      </c>
      <c r="G77" s="312"/>
      <c r="H77" s="312"/>
    </row>
    <row r="78" spans="1:8" ht="12.75">
      <c r="A78" s="312">
        <v>17</v>
      </c>
      <c r="B78" s="662">
        <v>42004</v>
      </c>
      <c r="C78" s="154" t="s">
        <v>50</v>
      </c>
      <c r="D78" s="154" t="s">
        <v>125</v>
      </c>
      <c r="E78" s="665">
        <v>242.05</v>
      </c>
      <c r="F78" s="154" t="s">
        <v>929</v>
      </c>
      <c r="G78" s="194"/>
      <c r="H78" s="312"/>
    </row>
    <row r="79" spans="1:8" ht="13.5" customHeight="1">
      <c r="A79" s="312">
        <v>17</v>
      </c>
      <c r="B79" s="662">
        <v>42004</v>
      </c>
      <c r="C79" s="154" t="s">
        <v>52</v>
      </c>
      <c r="D79" s="154" t="s">
        <v>126</v>
      </c>
      <c r="E79" s="665">
        <v>833.28</v>
      </c>
      <c r="F79" s="154" t="s">
        <v>929</v>
      </c>
      <c r="G79" s="312"/>
      <c r="H79" s="312"/>
    </row>
    <row r="80" spans="1:8" ht="13.5" customHeight="1">
      <c r="A80" s="312">
        <v>17</v>
      </c>
      <c r="B80" s="662">
        <v>42004</v>
      </c>
      <c r="C80" s="154" t="s">
        <v>54</v>
      </c>
      <c r="D80" s="154" t="s">
        <v>275</v>
      </c>
      <c r="E80" s="665">
        <v>7505.54</v>
      </c>
      <c r="F80" s="154" t="s">
        <v>929</v>
      </c>
      <c r="G80" s="312"/>
      <c r="H80" s="312"/>
    </row>
    <row r="81" spans="1:8" ht="12.75">
      <c r="A81" s="312">
        <v>17</v>
      </c>
      <c r="B81" s="662">
        <v>42004</v>
      </c>
      <c r="C81" s="154" t="s">
        <v>60</v>
      </c>
      <c r="D81" s="154" t="s">
        <v>138</v>
      </c>
      <c r="E81" s="665">
        <v>38.53</v>
      </c>
      <c r="F81" s="154" t="s">
        <v>929</v>
      </c>
      <c r="G81" s="312"/>
      <c r="H81" s="312"/>
    </row>
    <row r="82" spans="1:8" ht="12.75">
      <c r="A82" s="312">
        <v>17</v>
      </c>
      <c r="B82" s="662">
        <v>42004</v>
      </c>
      <c r="C82" s="154" t="s">
        <v>1070</v>
      </c>
      <c r="D82" s="154" t="s">
        <v>243</v>
      </c>
      <c r="E82" s="665">
        <v>12.05</v>
      </c>
      <c r="F82" s="154" t="s">
        <v>929</v>
      </c>
      <c r="G82" s="312"/>
      <c r="H82" s="312"/>
    </row>
    <row r="83" spans="1:8" ht="12.75">
      <c r="A83" s="312">
        <v>17</v>
      </c>
      <c r="B83" s="662">
        <v>42004</v>
      </c>
      <c r="C83" s="154" t="s">
        <v>141</v>
      </c>
      <c r="D83" s="154" t="s">
        <v>142</v>
      </c>
      <c r="E83" s="665">
        <v>7534.59</v>
      </c>
      <c r="F83" s="154" t="s">
        <v>929</v>
      </c>
      <c r="G83" s="312"/>
      <c r="H83" s="312"/>
    </row>
    <row r="84" spans="1:8" ht="12.75">
      <c r="A84" s="312">
        <v>17</v>
      </c>
      <c r="B84" s="662">
        <v>42004</v>
      </c>
      <c r="C84" s="154" t="s">
        <v>230</v>
      </c>
      <c r="D84" s="154" t="s">
        <v>143</v>
      </c>
      <c r="E84" s="665">
        <v>-10494.47</v>
      </c>
      <c r="F84" s="154" t="s">
        <v>1086</v>
      </c>
      <c r="G84" s="312"/>
      <c r="H84" s="312"/>
    </row>
    <row r="85" spans="1:8" ht="12.75">
      <c r="A85" s="312">
        <v>17</v>
      </c>
      <c r="B85" s="662">
        <v>42004</v>
      </c>
      <c r="C85" s="154" t="s">
        <v>152</v>
      </c>
      <c r="D85" s="154" t="s">
        <v>150</v>
      </c>
      <c r="E85" s="665">
        <v>57.42</v>
      </c>
      <c r="F85" s="154" t="s">
        <v>929</v>
      </c>
      <c r="G85" s="312"/>
      <c r="H85" s="312"/>
    </row>
    <row r="86" spans="1:8" ht="12.75">
      <c r="A86" s="312">
        <v>17</v>
      </c>
      <c r="B86" s="662">
        <v>42004</v>
      </c>
      <c r="C86" s="154" t="s">
        <v>153</v>
      </c>
      <c r="D86" s="154" t="s">
        <v>151</v>
      </c>
      <c r="E86" s="665">
        <v>-5776.32</v>
      </c>
      <c r="F86" s="154" t="s">
        <v>1087</v>
      </c>
      <c r="G86" s="312"/>
      <c r="H86" s="312"/>
    </row>
    <row r="87" spans="1:8" ht="12.75">
      <c r="A87" s="312">
        <v>17</v>
      </c>
      <c r="B87" s="662">
        <v>42004</v>
      </c>
      <c r="C87" s="154" t="s">
        <v>262</v>
      </c>
      <c r="D87" s="154" t="s">
        <v>263</v>
      </c>
      <c r="E87" s="664">
        <v>-124.67</v>
      </c>
      <c r="F87" s="154" t="s">
        <v>1085</v>
      </c>
      <c r="G87" s="312"/>
      <c r="H87" s="312"/>
    </row>
    <row r="88" spans="1:8" ht="12.75">
      <c r="A88" s="312"/>
      <c r="B88" s="662"/>
      <c r="C88" s="154"/>
      <c r="D88" s="154"/>
      <c r="E88" s="664"/>
      <c r="F88" s="154"/>
      <c r="G88" s="312"/>
      <c r="H88" s="312"/>
    </row>
    <row r="89" spans="1:9" ht="30" customHeight="1">
      <c r="A89" s="312">
        <v>18</v>
      </c>
      <c r="B89" s="662">
        <v>42004</v>
      </c>
      <c r="C89" s="154" t="s">
        <v>11</v>
      </c>
      <c r="D89" s="154" t="s">
        <v>4</v>
      </c>
      <c r="E89" s="665">
        <v>-8000</v>
      </c>
      <c r="F89" s="154" t="s">
        <v>702</v>
      </c>
      <c r="G89" s="312"/>
      <c r="H89" s="312"/>
      <c r="I89" s="611"/>
    </row>
    <row r="90" spans="1:8" ht="12.75">
      <c r="A90" s="312">
        <v>18</v>
      </c>
      <c r="B90" s="662">
        <v>42004</v>
      </c>
      <c r="C90" s="154" t="s">
        <v>230</v>
      </c>
      <c r="D90" s="154" t="s">
        <v>143</v>
      </c>
      <c r="E90" s="665">
        <v>-8000</v>
      </c>
      <c r="F90" s="154" t="s">
        <v>1086</v>
      </c>
      <c r="G90" s="312"/>
      <c r="H90" s="312"/>
    </row>
    <row r="93" ht="12.75">
      <c r="C93" s="398"/>
    </row>
    <row r="94" ht="12.75">
      <c r="C94" s="188" t="s">
        <v>1088</v>
      </c>
    </row>
    <row r="95" spans="3:5" ht="12.75">
      <c r="C95" s="312" t="s">
        <v>584</v>
      </c>
      <c r="D95" s="312" t="s">
        <v>585</v>
      </c>
      <c r="E95" s="666">
        <v>11739.25</v>
      </c>
    </row>
    <row r="96" spans="3:5" ht="12.75">
      <c r="C96" s="312" t="s">
        <v>586</v>
      </c>
      <c r="D96" s="312" t="s">
        <v>587</v>
      </c>
      <c r="E96" s="667">
        <v>1500</v>
      </c>
    </row>
    <row r="97" spans="3:5" ht="12.75">
      <c r="C97" s="312" t="s">
        <v>588</v>
      </c>
      <c r="D97" s="312" t="s">
        <v>587</v>
      </c>
      <c r="E97" s="667">
        <v>443.7</v>
      </c>
    </row>
    <row r="98" spans="3:5" ht="12.75">
      <c r="C98" s="314" t="s">
        <v>589</v>
      </c>
      <c r="D98" s="314" t="s">
        <v>583</v>
      </c>
      <c r="E98" s="668">
        <v>10000</v>
      </c>
    </row>
    <row r="99" spans="3:5" ht="12.75">
      <c r="C99" s="314" t="s">
        <v>590</v>
      </c>
      <c r="D99" s="314" t="s">
        <v>591</v>
      </c>
      <c r="E99" s="668">
        <v>6000</v>
      </c>
    </row>
    <row r="100" spans="3:5" ht="12.75">
      <c r="C100" s="314" t="s">
        <v>592</v>
      </c>
      <c r="D100" s="314" t="s">
        <v>583</v>
      </c>
      <c r="E100" s="668">
        <v>10000</v>
      </c>
    </row>
    <row r="101" spans="3:5" ht="12.75">
      <c r="C101" s="314" t="s">
        <v>593</v>
      </c>
      <c r="D101" s="314" t="s">
        <v>594</v>
      </c>
      <c r="E101" s="668">
        <v>20000</v>
      </c>
    </row>
    <row r="102" spans="3:6" ht="12.75">
      <c r="C102" s="361" t="s">
        <v>714</v>
      </c>
      <c r="D102" s="361" t="s">
        <v>715</v>
      </c>
      <c r="E102" s="669">
        <v>10000</v>
      </c>
      <c r="F102" s="188" t="s">
        <v>1097</v>
      </c>
    </row>
    <row r="103" spans="3:6" ht="12.75">
      <c r="C103" s="361" t="s">
        <v>972</v>
      </c>
      <c r="D103" s="361" t="s">
        <v>583</v>
      </c>
      <c r="E103" s="669">
        <v>10000</v>
      </c>
      <c r="F103" s="188" t="s">
        <v>1097</v>
      </c>
    </row>
    <row r="104" spans="3:5" ht="12.75">
      <c r="C104" s="314" t="s">
        <v>934</v>
      </c>
      <c r="D104" s="314" t="s">
        <v>594</v>
      </c>
      <c r="E104" s="670">
        <v>8000</v>
      </c>
    </row>
    <row r="105" spans="3:6" ht="12.75">
      <c r="C105" s="361" t="s">
        <v>973</v>
      </c>
      <c r="D105" s="361" t="s">
        <v>715</v>
      </c>
      <c r="E105" s="669">
        <v>5000</v>
      </c>
      <c r="F105" s="188" t="s">
        <v>1097</v>
      </c>
    </row>
    <row r="106" spans="3:5" ht="12.75">
      <c r="C106" s="314"/>
      <c r="D106" s="314"/>
      <c r="E106" s="670">
        <f>SUM(E95:E105)</f>
        <v>92682.95</v>
      </c>
    </row>
    <row r="107" spans="3:5" ht="12.75">
      <c r="C107" s="314"/>
      <c r="D107" s="314"/>
      <c r="E107" s="670"/>
    </row>
    <row r="108" spans="3:5" ht="12.75">
      <c r="C108" s="312" t="s">
        <v>584</v>
      </c>
      <c r="D108" s="312" t="s">
        <v>585</v>
      </c>
      <c r="E108" s="667">
        <v>2582.64</v>
      </c>
    </row>
    <row r="109" spans="3:7" ht="12.75">
      <c r="C109" s="312" t="s">
        <v>586</v>
      </c>
      <c r="D109" s="312" t="s">
        <v>587</v>
      </c>
      <c r="E109" s="667">
        <v>330</v>
      </c>
      <c r="G109" s="191"/>
    </row>
    <row r="110" spans="3:5" ht="12.75">
      <c r="C110" s="312" t="s">
        <v>588</v>
      </c>
      <c r="D110" s="312" t="s">
        <v>587</v>
      </c>
      <c r="E110" s="667">
        <v>97.61</v>
      </c>
    </row>
    <row r="111" spans="3:5" ht="12.75">
      <c r="C111" s="314" t="s">
        <v>589</v>
      </c>
      <c r="D111" s="314" t="s">
        <v>583</v>
      </c>
      <c r="E111" s="668">
        <v>2200</v>
      </c>
    </row>
    <row r="112" spans="3:7" ht="12.75">
      <c r="C112" s="314" t="s">
        <v>590</v>
      </c>
      <c r="D112" s="314" t="s">
        <v>591</v>
      </c>
      <c r="E112" s="668">
        <v>1320</v>
      </c>
      <c r="G112" s="191"/>
    </row>
    <row r="113" spans="3:5" ht="12.75">
      <c r="C113" s="314" t="s">
        <v>592</v>
      </c>
      <c r="D113" s="314" t="s">
        <v>583</v>
      </c>
      <c r="E113" s="668">
        <v>2200</v>
      </c>
    </row>
    <row r="114" spans="3:5" ht="12.75">
      <c r="C114" s="314" t="s">
        <v>593</v>
      </c>
      <c r="D114" s="314" t="s">
        <v>594</v>
      </c>
      <c r="E114" s="668">
        <v>4400</v>
      </c>
    </row>
    <row r="115" spans="3:6" ht="12.75">
      <c r="C115" s="361" t="s">
        <v>714</v>
      </c>
      <c r="D115" s="361" t="s">
        <v>715</v>
      </c>
      <c r="E115" s="669">
        <v>2200</v>
      </c>
      <c r="F115" s="188" t="s">
        <v>1097</v>
      </c>
    </row>
    <row r="116" spans="3:6" ht="12.75">
      <c r="C116" s="361" t="s">
        <v>972</v>
      </c>
      <c r="D116" s="361" t="s">
        <v>583</v>
      </c>
      <c r="E116" s="669">
        <v>2200</v>
      </c>
      <c r="F116" s="188" t="s">
        <v>1097</v>
      </c>
    </row>
    <row r="117" spans="3:5" ht="12.75">
      <c r="C117" s="312" t="s">
        <v>934</v>
      </c>
      <c r="D117" s="312" t="s">
        <v>594</v>
      </c>
      <c r="E117" s="664">
        <v>1760</v>
      </c>
    </row>
    <row r="118" spans="3:6" ht="12.75">
      <c r="C118" s="361" t="s">
        <v>935</v>
      </c>
      <c r="D118" s="361" t="s">
        <v>715</v>
      </c>
      <c r="E118" s="669">
        <v>1100</v>
      </c>
      <c r="F118" s="188" t="s">
        <v>1097</v>
      </c>
    </row>
    <row r="119" ht="12.75">
      <c r="E119" s="663">
        <f>SUM(E108:E118)</f>
        <v>20390.25</v>
      </c>
    </row>
  </sheetData>
  <sheetProtection/>
  <mergeCells count="2">
    <mergeCell ref="C1:F1"/>
    <mergeCell ref="G4:H4"/>
  </mergeCells>
  <printOptions/>
  <pageMargins left="0.7086614173228347" right="0.7086614173228347" top="0.3937007874015748" bottom="0.2755905511811024" header="0.31496062992125984" footer="0.31496062992125984"/>
  <pageSetup fitToHeight="0" fitToWidth="1" horizontalDpi="300" verticalDpi="3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5"/>
  <sheetViews>
    <sheetView zoomScalePageLayoutView="0" workbookViewId="0" topLeftCell="A11">
      <selection activeCell="L35" sqref="L35"/>
    </sheetView>
  </sheetViews>
  <sheetFormatPr defaultColWidth="9.140625" defaultRowHeight="12.75"/>
  <cols>
    <col min="2" max="2" width="12.8515625" style="0" bestFit="1" customWidth="1"/>
    <col min="4" max="4" width="12.8515625" style="0" bestFit="1" customWidth="1"/>
    <col min="6" max="6" width="12.8515625" style="0" bestFit="1" customWidth="1"/>
    <col min="8" max="8" width="12.8515625" style="0" bestFit="1" customWidth="1"/>
    <col min="10" max="10" width="12.8515625" style="0" bestFit="1" customWidth="1"/>
  </cols>
  <sheetData>
    <row r="3" spans="2:6" ht="12.75">
      <c r="B3" s="51" t="s">
        <v>724</v>
      </c>
      <c r="C3" s="540" t="s">
        <v>725</v>
      </c>
      <c r="D3" s="51" t="s">
        <v>726</v>
      </c>
      <c r="E3" s="540" t="s">
        <v>727</v>
      </c>
      <c r="F3" s="51" t="s">
        <v>728</v>
      </c>
    </row>
    <row r="5" spans="2:6" ht="12.75">
      <c r="B5" s="52">
        <f>'Dimostrazione avanzo'!C6+'Dimostrazione avanzo'!C7</f>
        <v>98897.61</v>
      </c>
      <c r="D5" s="52">
        <f>'Dimostrazione avanzo'!C9-'Dimostrazione avanzo'!C11</f>
        <v>-51643.91000000003</v>
      </c>
      <c r="F5" s="52">
        <f>B5+D5</f>
        <v>47253.69999999997</v>
      </c>
    </row>
    <row r="10" spans="2:6" ht="12.75">
      <c r="B10" s="51" t="s">
        <v>729</v>
      </c>
      <c r="C10" s="540" t="s">
        <v>725</v>
      </c>
      <c r="D10" s="51" t="s">
        <v>730</v>
      </c>
      <c r="E10" s="540" t="s">
        <v>727</v>
      </c>
      <c r="F10" s="51" t="s">
        <v>731</v>
      </c>
    </row>
    <row r="12" spans="2:6" ht="12.75">
      <c r="B12" s="52">
        <f>'variazioni di bilancio'!E23</f>
        <v>165003.97999999998</v>
      </c>
      <c r="D12" s="310">
        <f>Entrate!F58-'Spese '!F82</f>
        <v>-47876.859999999986</v>
      </c>
      <c r="F12" s="374">
        <f>B12+D12</f>
        <v>117127.12</v>
      </c>
    </row>
    <row r="16" spans="2:10" ht="12.75">
      <c r="B16" s="51" t="s">
        <v>728</v>
      </c>
      <c r="C16" s="540" t="s">
        <v>725</v>
      </c>
      <c r="D16" s="51" t="s">
        <v>732</v>
      </c>
      <c r="E16" s="540" t="s">
        <v>723</v>
      </c>
      <c r="F16" s="51" t="s">
        <v>733</v>
      </c>
      <c r="G16" s="540" t="s">
        <v>727</v>
      </c>
      <c r="H16" s="51" t="s">
        <v>731</v>
      </c>
      <c r="J16" s="51" t="s">
        <v>736</v>
      </c>
    </row>
    <row r="18" spans="2:10" ht="12.75">
      <c r="B18" s="52">
        <f>F5</f>
        <v>47253.69999999997</v>
      </c>
      <c r="D18" s="310">
        <f>Entrate!L59</f>
        <v>198450.55</v>
      </c>
      <c r="F18">
        <f>'Spese '!L83</f>
        <v>128577.1</v>
      </c>
      <c r="H18" s="374">
        <f>B18+D18-F18</f>
        <v>117127.14999999994</v>
      </c>
      <c r="J18" s="52">
        <f>F12-H18</f>
        <v>-0.029999999940628186</v>
      </c>
    </row>
    <row r="22" spans="2:10" ht="12.75">
      <c r="B22" s="51" t="s">
        <v>724</v>
      </c>
      <c r="C22" s="540" t="s">
        <v>725</v>
      </c>
      <c r="D22" s="51" t="s">
        <v>734</v>
      </c>
      <c r="E22" s="540" t="s">
        <v>723</v>
      </c>
      <c r="F22" s="51" t="s">
        <v>735</v>
      </c>
      <c r="G22" s="540" t="s">
        <v>727</v>
      </c>
      <c r="H22" s="51" t="s">
        <v>729</v>
      </c>
      <c r="J22" s="51" t="s">
        <v>736</v>
      </c>
    </row>
    <row r="24" spans="2:10" ht="12.75">
      <c r="B24" s="52">
        <f>B5</f>
        <v>98897.61</v>
      </c>
      <c r="D24" s="52">
        <f>accertamenti!E8+accertamenti!E18</f>
        <v>213647.72</v>
      </c>
      <c r="F24" s="52">
        <f>IMPEGNI!E7+IMPEGNI!D19</f>
        <v>147541.32</v>
      </c>
      <c r="H24" s="52">
        <f>B24+D24-F24</f>
        <v>165004.01</v>
      </c>
      <c r="J24" s="52">
        <f>B12-H24</f>
        <v>-0.030000000027939677</v>
      </c>
    </row>
    <row r="28" spans="2:8" s="147" customFormat="1" ht="12.75">
      <c r="B28" s="188" t="s">
        <v>734</v>
      </c>
      <c r="C28" s="543" t="s">
        <v>725</v>
      </c>
      <c r="D28" s="188" t="s">
        <v>738</v>
      </c>
      <c r="E28" s="543" t="s">
        <v>723</v>
      </c>
      <c r="F28" s="188" t="s">
        <v>737</v>
      </c>
      <c r="G28" s="543" t="s">
        <v>727</v>
      </c>
      <c r="H28" s="188" t="s">
        <v>732</v>
      </c>
    </row>
    <row r="29" s="147" customFormat="1" ht="12.75"/>
    <row r="30" spans="2:9" s="147" customFormat="1" ht="12.75">
      <c r="B30" s="191">
        <f>D24</f>
        <v>213647.72</v>
      </c>
      <c r="D30" s="191">
        <f>Entrate!H58</f>
        <v>37630.49</v>
      </c>
      <c r="F30" s="544">
        <f>Entrate!K58</f>
        <v>52827.66</v>
      </c>
      <c r="H30" s="191">
        <f>B30+D30-F30</f>
        <v>198450.55</v>
      </c>
      <c r="I30" s="188" t="s">
        <v>739</v>
      </c>
    </row>
    <row r="31" s="147" customFormat="1" ht="12.75"/>
    <row r="32" s="147" customFormat="1" ht="12.75"/>
    <row r="33" spans="2:8" ht="12.75">
      <c r="B33" s="188" t="s">
        <v>735</v>
      </c>
      <c r="C33" s="543" t="s">
        <v>725</v>
      </c>
      <c r="D33" s="188" t="s">
        <v>740</v>
      </c>
      <c r="E33" s="543" t="s">
        <v>723</v>
      </c>
      <c r="F33" s="188" t="s">
        <v>741</v>
      </c>
      <c r="G33" s="543" t="s">
        <v>727</v>
      </c>
      <c r="H33" s="188" t="s">
        <v>733</v>
      </c>
    </row>
    <row r="35" spans="2:9" ht="12.75">
      <c r="B35" s="52">
        <f>IMPEGNI!E7+IMPEGNI!D19</f>
        <v>147541.32</v>
      </c>
      <c r="D35">
        <f>'Spese '!H82</f>
        <v>14314.1</v>
      </c>
      <c r="F35">
        <f>'Spese '!K82</f>
        <v>33278.32</v>
      </c>
      <c r="H35" s="52">
        <f>B35+D35-F35</f>
        <v>128577.1</v>
      </c>
      <c r="I35" s="51" t="s">
        <v>742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5.7109375" style="0" customWidth="1"/>
    <col min="2" max="2" width="30.28125" style="0" customWidth="1"/>
    <col min="3" max="3" width="24.57421875" style="0" bestFit="1" customWidth="1"/>
    <col min="4" max="4" width="21.421875" style="0" bestFit="1" customWidth="1"/>
    <col min="5" max="5" width="12.8515625" style="0" bestFit="1" customWidth="1"/>
    <col min="6" max="6" width="13.28125" style="0" customWidth="1"/>
    <col min="7" max="7" width="13.28125" style="0" bestFit="1" customWidth="1"/>
    <col min="8" max="8" width="12.8515625" style="0" bestFit="1" customWidth="1"/>
  </cols>
  <sheetData>
    <row r="1" spans="1:5" ht="12.75">
      <c r="A1" s="672" t="s">
        <v>561</v>
      </c>
      <c r="B1" s="672"/>
      <c r="C1" s="672"/>
      <c r="D1" s="672"/>
      <c r="E1" s="672"/>
    </row>
    <row r="2" spans="1:5" s="50" customFormat="1" ht="32.25" customHeight="1">
      <c r="A2" s="57" t="s">
        <v>212</v>
      </c>
      <c r="B2" s="57" t="s">
        <v>213</v>
      </c>
      <c r="C2" s="57" t="s">
        <v>214</v>
      </c>
      <c r="D2" s="57" t="s">
        <v>227</v>
      </c>
      <c r="E2" s="57" t="s">
        <v>211</v>
      </c>
    </row>
    <row r="3" spans="1:5" ht="12.75">
      <c r="A3" s="85" t="s">
        <v>11</v>
      </c>
      <c r="B3" s="85" t="s">
        <v>4</v>
      </c>
      <c r="C3" s="51" t="s">
        <v>555</v>
      </c>
      <c r="D3" s="51"/>
      <c r="E3" s="197">
        <v>8000</v>
      </c>
    </row>
    <row r="4" spans="1:5" s="53" customFormat="1" ht="12.75">
      <c r="A4" s="86"/>
      <c r="B4" s="87"/>
      <c r="E4" s="54"/>
    </row>
    <row r="5" spans="1:5" ht="12.75">
      <c r="A5" s="88" t="s">
        <v>21</v>
      </c>
      <c r="B5" s="89" t="s">
        <v>191</v>
      </c>
      <c r="C5" s="51" t="s">
        <v>345</v>
      </c>
      <c r="D5" s="51" t="s">
        <v>342</v>
      </c>
      <c r="E5" s="55">
        <v>9000</v>
      </c>
    </row>
    <row r="6" spans="1:5" s="53" customFormat="1" ht="12.75">
      <c r="A6" s="88" t="s">
        <v>21</v>
      </c>
      <c r="B6" s="89" t="s">
        <v>191</v>
      </c>
      <c r="C6" s="51" t="s">
        <v>345</v>
      </c>
      <c r="D6" s="51" t="s">
        <v>385</v>
      </c>
      <c r="E6" s="55">
        <v>7500</v>
      </c>
    </row>
    <row r="7" spans="1:8" s="53" customFormat="1" ht="25.5" customHeight="1">
      <c r="A7" s="88" t="s">
        <v>21</v>
      </c>
      <c r="B7" s="89" t="s">
        <v>191</v>
      </c>
      <c r="C7" s="53" t="s">
        <v>556</v>
      </c>
      <c r="D7" s="53" t="s">
        <v>556</v>
      </c>
      <c r="E7" s="54">
        <v>70000</v>
      </c>
      <c r="F7" s="81" t="s">
        <v>557</v>
      </c>
      <c r="G7" s="53" t="s">
        <v>558</v>
      </c>
      <c r="H7" s="345">
        <v>127976</v>
      </c>
    </row>
    <row r="8" spans="1:8" s="53" customFormat="1" ht="12.75">
      <c r="A8" s="87"/>
      <c r="B8" s="87"/>
      <c r="E8" s="54"/>
      <c r="G8" s="53" t="s">
        <v>559</v>
      </c>
      <c r="H8" s="345">
        <v>350699</v>
      </c>
    </row>
    <row r="9" spans="1:5" ht="12.75">
      <c r="A9" s="90" t="s">
        <v>26</v>
      </c>
      <c r="B9" s="89" t="s">
        <v>100</v>
      </c>
      <c r="C9" s="51" t="s">
        <v>346</v>
      </c>
      <c r="D9" s="51" t="s">
        <v>342</v>
      </c>
      <c r="E9" s="55">
        <f>E5*22/100</f>
        <v>1980</v>
      </c>
    </row>
    <row r="10" spans="1:5" ht="12.75">
      <c r="A10" s="90" t="s">
        <v>26</v>
      </c>
      <c r="B10" s="89" t="s">
        <v>100</v>
      </c>
      <c r="C10" s="51" t="s">
        <v>346</v>
      </c>
      <c r="D10" s="51" t="s">
        <v>385</v>
      </c>
      <c r="E10" s="55">
        <f>E6*22/100</f>
        <v>1650</v>
      </c>
    </row>
    <row r="11" spans="1:5" ht="12.75">
      <c r="A11" s="90" t="s">
        <v>26</v>
      </c>
      <c r="B11" s="89" t="s">
        <v>100</v>
      </c>
      <c r="C11" s="53" t="s">
        <v>556</v>
      </c>
      <c r="D11" s="53" t="s">
        <v>556</v>
      </c>
      <c r="E11" s="55">
        <f>E7*22/100</f>
        <v>15400</v>
      </c>
    </row>
    <row r="12" spans="1:5" ht="12.75">
      <c r="A12" s="90"/>
      <c r="B12" s="89"/>
      <c r="C12" s="51"/>
      <c r="D12" s="51"/>
      <c r="E12" s="55"/>
    </row>
    <row r="13" spans="1:5" s="53" customFormat="1" ht="27" customHeight="1">
      <c r="A13" s="90" t="s">
        <v>38</v>
      </c>
      <c r="B13" s="222" t="s">
        <v>183</v>
      </c>
      <c r="C13" s="51" t="s">
        <v>560</v>
      </c>
      <c r="D13" s="51" t="s">
        <v>320</v>
      </c>
      <c r="E13" s="55">
        <v>13901.9</v>
      </c>
    </row>
    <row r="14" spans="1:5" s="53" customFormat="1" ht="27" customHeight="1">
      <c r="A14" s="90" t="s">
        <v>38</v>
      </c>
      <c r="B14" s="222" t="s">
        <v>183</v>
      </c>
      <c r="C14" s="51" t="s">
        <v>347</v>
      </c>
      <c r="D14" s="51" t="s">
        <v>320</v>
      </c>
      <c r="E14" s="55">
        <v>13162.5</v>
      </c>
    </row>
    <row r="15" spans="1:5" s="53" customFormat="1" ht="13.5">
      <c r="A15" s="223"/>
      <c r="B15" s="4"/>
      <c r="E15" s="54"/>
    </row>
    <row r="16" spans="1:5" ht="12.75">
      <c r="A16" s="90" t="s">
        <v>115</v>
      </c>
      <c r="B16" s="91" t="s">
        <v>0</v>
      </c>
      <c r="C16" s="51"/>
      <c r="D16" s="51" t="s">
        <v>238</v>
      </c>
      <c r="E16" s="92">
        <v>25000</v>
      </c>
    </row>
    <row r="17" spans="1:5" ht="12.75">
      <c r="A17" s="90" t="s">
        <v>116</v>
      </c>
      <c r="B17" s="91" t="s">
        <v>44</v>
      </c>
      <c r="C17" s="51"/>
      <c r="D17" s="51" t="s">
        <v>238</v>
      </c>
      <c r="E17" s="92">
        <v>20000</v>
      </c>
    </row>
    <row r="18" spans="1:5" ht="12.75">
      <c r="A18" s="90" t="s">
        <v>117</v>
      </c>
      <c r="B18" s="91" t="s">
        <v>171</v>
      </c>
      <c r="C18" s="51"/>
      <c r="D18" s="51" t="s">
        <v>238</v>
      </c>
      <c r="E18" s="92">
        <v>100</v>
      </c>
    </row>
    <row r="19" spans="1:5" ht="12.75">
      <c r="A19" s="93"/>
      <c r="B19" s="91"/>
      <c r="C19" s="51"/>
      <c r="D19" s="51"/>
      <c r="E19" s="94"/>
    </row>
    <row r="20" spans="1:5" ht="12.75">
      <c r="A20" s="51"/>
      <c r="B20" s="51"/>
      <c r="C20" s="51"/>
      <c r="D20" s="51"/>
      <c r="E20" s="51"/>
    </row>
    <row r="21" spans="1:5" ht="12.75">
      <c r="A21" s="51"/>
      <c r="B21" s="51"/>
      <c r="C21" s="51"/>
      <c r="D21" s="51"/>
      <c r="E21" s="54">
        <f>SUM(E3:E18)</f>
        <v>185694.4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4"/>
  <sheetViews>
    <sheetView zoomScale="70" zoomScaleNormal="70" zoomScalePageLayoutView="0" workbookViewId="0" topLeftCell="A80">
      <selection activeCell="F83" sqref="F83:G83"/>
    </sheetView>
  </sheetViews>
  <sheetFormatPr defaultColWidth="9.140625" defaultRowHeight="37.5" customHeight="1"/>
  <cols>
    <col min="1" max="1" width="6.57421875" style="0" customWidth="1"/>
    <col min="2" max="2" width="15.421875" style="0" bestFit="1" customWidth="1"/>
    <col min="3" max="3" width="144.421875" style="0" customWidth="1"/>
    <col min="4" max="4" width="19.8515625" style="0" customWidth="1"/>
    <col min="5" max="5" width="14.8515625" style="0" bestFit="1" customWidth="1"/>
    <col min="6" max="6" width="11.28125" style="0" bestFit="1" customWidth="1"/>
    <col min="7" max="7" width="43.00390625" style="0" bestFit="1" customWidth="1"/>
    <col min="8" max="8" width="9.140625" style="51" customWidth="1"/>
    <col min="9" max="9" width="22.28125" style="51" bestFit="1" customWidth="1"/>
    <col min="10" max="10" width="20.8515625" style="51" customWidth="1"/>
    <col min="11" max="11" width="12.00390625" style="0" bestFit="1" customWidth="1"/>
    <col min="12" max="13" width="11.00390625" style="0" bestFit="1" customWidth="1"/>
  </cols>
  <sheetData>
    <row r="1" spans="1:10" ht="37.5" customHeight="1">
      <c r="A1" s="673" t="s">
        <v>279</v>
      </c>
      <c r="B1" s="673"/>
      <c r="C1" s="673"/>
      <c r="D1" s="673"/>
      <c r="E1" s="673"/>
      <c r="F1" s="673"/>
      <c r="G1" s="673"/>
      <c r="H1" s="673"/>
      <c r="I1" s="673"/>
      <c r="J1" s="233"/>
    </row>
    <row r="2" spans="1:11" ht="37.5" customHeight="1" thickBot="1">
      <c r="A2" s="145"/>
      <c r="B2" s="146"/>
      <c r="C2" s="146"/>
      <c r="D2" s="146"/>
      <c r="E2" s="146"/>
      <c r="F2" s="146"/>
      <c r="G2" s="146"/>
      <c r="H2" s="146"/>
      <c r="I2" s="273"/>
      <c r="J2" s="233"/>
      <c r="K2" s="257"/>
    </row>
    <row r="3" spans="1:11" ht="37.5" customHeight="1" thickTop="1">
      <c r="A3" s="148" t="s">
        <v>280</v>
      </c>
      <c r="B3" s="149" t="s">
        <v>281</v>
      </c>
      <c r="C3" s="149" t="s">
        <v>214</v>
      </c>
      <c r="D3" s="149" t="s">
        <v>227</v>
      </c>
      <c r="E3" s="149" t="s">
        <v>211</v>
      </c>
      <c r="F3" s="149" t="s">
        <v>212</v>
      </c>
      <c r="G3" s="149" t="s">
        <v>213</v>
      </c>
      <c r="H3" s="235" t="s">
        <v>282</v>
      </c>
      <c r="I3" s="234" t="s">
        <v>289</v>
      </c>
      <c r="J3" s="383" t="s">
        <v>339</v>
      </c>
      <c r="K3" s="384" t="s">
        <v>337</v>
      </c>
    </row>
    <row r="4" spans="1:12" s="188" customFormat="1" ht="37.5" customHeight="1">
      <c r="A4" s="232">
        <v>1</v>
      </c>
      <c r="B4" s="196">
        <v>41647</v>
      </c>
      <c r="C4" s="337" t="s">
        <v>575</v>
      </c>
      <c r="D4" s="305" t="s">
        <v>363</v>
      </c>
      <c r="E4" s="342">
        <v>0.45</v>
      </c>
      <c r="F4" s="306" t="s">
        <v>27</v>
      </c>
      <c r="G4" s="307" t="s">
        <v>331</v>
      </c>
      <c r="H4" s="307" t="s">
        <v>294</v>
      </c>
      <c r="I4" s="153" t="s">
        <v>336</v>
      </c>
      <c r="J4" s="385"/>
      <c r="K4" s="386"/>
      <c r="L4" s="341"/>
    </row>
    <row r="5" spans="1:12" s="188" customFormat="1" ht="37.5" customHeight="1">
      <c r="A5" s="232">
        <v>2</v>
      </c>
      <c r="B5" s="196">
        <v>41647</v>
      </c>
      <c r="C5" s="337" t="s">
        <v>576</v>
      </c>
      <c r="D5" s="305" t="s">
        <v>363</v>
      </c>
      <c r="E5" s="342">
        <v>743.03</v>
      </c>
      <c r="F5" s="306" t="s">
        <v>115</v>
      </c>
      <c r="G5" s="307" t="s">
        <v>0</v>
      </c>
      <c r="H5" s="307" t="s">
        <v>294</v>
      </c>
      <c r="I5" s="153" t="s">
        <v>336</v>
      </c>
      <c r="J5" s="385"/>
      <c r="K5" s="386"/>
      <c r="L5" s="341"/>
    </row>
    <row r="6" spans="1:12" s="188" customFormat="1" ht="37.5" customHeight="1">
      <c r="A6" s="232">
        <v>3</v>
      </c>
      <c r="B6" s="196">
        <v>41647</v>
      </c>
      <c r="C6" s="337" t="s">
        <v>577</v>
      </c>
      <c r="D6" s="305" t="s">
        <v>363</v>
      </c>
      <c r="E6" s="342">
        <v>115.59</v>
      </c>
      <c r="F6" s="306" t="s">
        <v>116</v>
      </c>
      <c r="G6" s="307" t="s">
        <v>44</v>
      </c>
      <c r="H6" s="307" t="s">
        <v>294</v>
      </c>
      <c r="I6" s="153" t="s">
        <v>336</v>
      </c>
      <c r="J6" s="385"/>
      <c r="K6" s="386"/>
      <c r="L6" s="341"/>
    </row>
    <row r="7" spans="1:12" s="188" customFormat="1" ht="37.5" customHeight="1">
      <c r="A7" s="232">
        <v>4</v>
      </c>
      <c r="B7" s="196">
        <v>41647</v>
      </c>
      <c r="C7" s="337" t="s">
        <v>578</v>
      </c>
      <c r="D7" s="305" t="s">
        <v>363</v>
      </c>
      <c r="E7" s="342">
        <v>1.95</v>
      </c>
      <c r="F7" s="306" t="s">
        <v>117</v>
      </c>
      <c r="G7" s="307" t="s">
        <v>171</v>
      </c>
      <c r="H7" s="307" t="s">
        <v>294</v>
      </c>
      <c r="I7" s="153" t="s">
        <v>336</v>
      </c>
      <c r="J7" s="385"/>
      <c r="K7" s="386"/>
      <c r="L7" s="341"/>
    </row>
    <row r="8" spans="1:12" s="188" customFormat="1" ht="37.5" customHeight="1">
      <c r="A8" s="232">
        <v>5</v>
      </c>
      <c r="B8" s="196">
        <v>41647</v>
      </c>
      <c r="C8" s="337" t="s">
        <v>579</v>
      </c>
      <c r="D8" s="305" t="s">
        <v>284</v>
      </c>
      <c r="E8" s="342">
        <f>E6*2</f>
        <v>231.18</v>
      </c>
      <c r="F8" s="306" t="s">
        <v>116</v>
      </c>
      <c r="G8" s="307" t="s">
        <v>44</v>
      </c>
      <c r="H8" s="307" t="s">
        <v>294</v>
      </c>
      <c r="I8" s="153" t="s">
        <v>336</v>
      </c>
      <c r="J8" s="385"/>
      <c r="K8" s="386"/>
      <c r="L8" s="341"/>
    </row>
    <row r="9" spans="1:12" s="188" customFormat="1" ht="37.5" customHeight="1">
      <c r="A9" s="232">
        <v>6</v>
      </c>
      <c r="B9" s="196">
        <v>41647</v>
      </c>
      <c r="C9" s="152" t="s">
        <v>580</v>
      </c>
      <c r="D9" s="308" t="s">
        <v>284</v>
      </c>
      <c r="E9" s="360">
        <f>E7*2</f>
        <v>3.9</v>
      </c>
      <c r="F9" s="306" t="s">
        <v>117</v>
      </c>
      <c r="G9" s="307" t="s">
        <v>171</v>
      </c>
      <c r="H9" s="307" t="s">
        <v>294</v>
      </c>
      <c r="I9" s="153" t="s">
        <v>336</v>
      </c>
      <c r="J9" s="385"/>
      <c r="K9" s="386"/>
      <c r="L9" s="341"/>
    </row>
    <row r="10" spans="1:12" s="188" customFormat="1" ht="37.5" customHeight="1">
      <c r="A10" s="232">
        <v>7</v>
      </c>
      <c r="B10" s="196">
        <v>41647</v>
      </c>
      <c r="C10" s="152" t="s">
        <v>575</v>
      </c>
      <c r="D10" s="154" t="s">
        <v>333</v>
      </c>
      <c r="E10" s="155">
        <v>0.33</v>
      </c>
      <c r="F10" s="151" t="s">
        <v>27</v>
      </c>
      <c r="G10" s="152" t="s">
        <v>331</v>
      </c>
      <c r="H10" s="307" t="s">
        <v>294</v>
      </c>
      <c r="I10" s="153" t="s">
        <v>336</v>
      </c>
      <c r="J10" s="385"/>
      <c r="K10" s="386"/>
      <c r="L10" s="341"/>
    </row>
    <row r="11" spans="1:12" s="188" customFormat="1" ht="37.5" customHeight="1">
      <c r="A11" s="232">
        <v>8</v>
      </c>
      <c r="B11" s="196">
        <v>41647</v>
      </c>
      <c r="C11" s="152" t="s">
        <v>576</v>
      </c>
      <c r="D11" s="154" t="s">
        <v>333</v>
      </c>
      <c r="E11" s="155">
        <v>208.99</v>
      </c>
      <c r="F11" s="151" t="s">
        <v>115</v>
      </c>
      <c r="G11" s="152" t="s">
        <v>0</v>
      </c>
      <c r="H11" s="307" t="s">
        <v>294</v>
      </c>
      <c r="I11" s="153" t="s">
        <v>336</v>
      </c>
      <c r="J11" s="385"/>
      <c r="K11" s="386"/>
      <c r="L11" s="341"/>
    </row>
    <row r="12" spans="1:12" s="188" customFormat="1" ht="37.5" customHeight="1">
      <c r="A12" s="232">
        <v>9</v>
      </c>
      <c r="B12" s="196">
        <v>41647</v>
      </c>
      <c r="C12" s="152" t="s">
        <v>577</v>
      </c>
      <c r="D12" s="154" t="s">
        <v>333</v>
      </c>
      <c r="E12" s="155">
        <v>93.32</v>
      </c>
      <c r="F12" s="151" t="s">
        <v>116</v>
      </c>
      <c r="G12" s="152" t="s">
        <v>44</v>
      </c>
      <c r="H12" s="307" t="s">
        <v>294</v>
      </c>
      <c r="I12" s="153" t="s">
        <v>336</v>
      </c>
      <c r="J12" s="385"/>
      <c r="K12" s="386"/>
      <c r="L12" s="341"/>
    </row>
    <row r="13" spans="1:12" s="188" customFormat="1" ht="37.5" customHeight="1">
      <c r="A13" s="232">
        <v>10</v>
      </c>
      <c r="B13" s="196">
        <v>41647</v>
      </c>
      <c r="C13" s="152" t="s">
        <v>578</v>
      </c>
      <c r="D13" s="154" t="s">
        <v>333</v>
      </c>
      <c r="E13" s="155">
        <v>8.13</v>
      </c>
      <c r="F13" s="151" t="s">
        <v>117</v>
      </c>
      <c r="G13" s="152" t="s">
        <v>171</v>
      </c>
      <c r="H13" s="307" t="s">
        <v>294</v>
      </c>
      <c r="I13" s="153" t="s">
        <v>336</v>
      </c>
      <c r="J13" s="385"/>
      <c r="K13" s="386"/>
      <c r="L13" s="341"/>
    </row>
    <row r="14" spans="1:12" s="188" customFormat="1" ht="37.5" customHeight="1">
      <c r="A14" s="232">
        <v>11</v>
      </c>
      <c r="B14" s="196">
        <v>41647</v>
      </c>
      <c r="C14" s="152" t="s">
        <v>597</v>
      </c>
      <c r="D14" s="154" t="s">
        <v>284</v>
      </c>
      <c r="E14" s="155">
        <f>E12*2</f>
        <v>186.64</v>
      </c>
      <c r="F14" s="306" t="s">
        <v>116</v>
      </c>
      <c r="G14" s="307" t="s">
        <v>44</v>
      </c>
      <c r="H14" s="307" t="s">
        <v>294</v>
      </c>
      <c r="I14" s="153" t="s">
        <v>336</v>
      </c>
      <c r="J14" s="385"/>
      <c r="K14" s="386"/>
      <c r="L14" s="341"/>
    </row>
    <row r="15" spans="1:12" s="188" customFormat="1" ht="37.5" customHeight="1">
      <c r="A15" s="232">
        <v>12</v>
      </c>
      <c r="B15" s="196">
        <v>41647</v>
      </c>
      <c r="C15" s="244" t="s">
        <v>598</v>
      </c>
      <c r="D15" s="228" t="s">
        <v>284</v>
      </c>
      <c r="E15" s="155">
        <f>E13*2</f>
        <v>16.26</v>
      </c>
      <c r="F15" s="306" t="s">
        <v>117</v>
      </c>
      <c r="G15" s="307" t="s">
        <v>171</v>
      </c>
      <c r="H15" s="307" t="s">
        <v>294</v>
      </c>
      <c r="I15" s="153" t="s">
        <v>336</v>
      </c>
      <c r="J15" s="385"/>
      <c r="K15" s="386"/>
      <c r="L15" s="341"/>
    </row>
    <row r="16" spans="1:12" s="188" customFormat="1" ht="37.5" customHeight="1">
      <c r="A16" s="232">
        <v>13</v>
      </c>
      <c r="B16" s="196">
        <v>41647</v>
      </c>
      <c r="C16" s="244" t="s">
        <v>577</v>
      </c>
      <c r="D16" s="228" t="s">
        <v>599</v>
      </c>
      <c r="E16" s="155">
        <v>41.95</v>
      </c>
      <c r="F16" s="306" t="s">
        <v>116</v>
      </c>
      <c r="G16" s="307" t="s">
        <v>44</v>
      </c>
      <c r="H16" s="307" t="s">
        <v>294</v>
      </c>
      <c r="I16" s="153" t="s">
        <v>336</v>
      </c>
      <c r="J16" s="385"/>
      <c r="K16" s="386"/>
      <c r="L16" s="341"/>
    </row>
    <row r="17" spans="1:12" s="188" customFormat="1" ht="37.5" customHeight="1">
      <c r="A17" s="232">
        <v>14</v>
      </c>
      <c r="B17" s="196">
        <v>41647</v>
      </c>
      <c r="C17" s="244" t="s">
        <v>578</v>
      </c>
      <c r="D17" s="228" t="s">
        <v>599</v>
      </c>
      <c r="E17" s="155">
        <v>12.38</v>
      </c>
      <c r="F17" s="306" t="s">
        <v>117</v>
      </c>
      <c r="G17" s="307" t="s">
        <v>171</v>
      </c>
      <c r="H17" s="307" t="s">
        <v>294</v>
      </c>
      <c r="I17" s="153" t="s">
        <v>336</v>
      </c>
      <c r="J17" s="385"/>
      <c r="K17" s="386"/>
      <c r="L17" s="341"/>
    </row>
    <row r="18" spans="1:12" s="188" customFormat="1" ht="37.5" customHeight="1">
      <c r="A18" s="232">
        <v>15</v>
      </c>
      <c r="B18" s="196">
        <v>41647</v>
      </c>
      <c r="C18" s="244" t="s">
        <v>600</v>
      </c>
      <c r="D18" s="228" t="s">
        <v>284</v>
      </c>
      <c r="E18" s="155">
        <v>83.9</v>
      </c>
      <c r="F18" s="306" t="s">
        <v>116</v>
      </c>
      <c r="G18" s="307" t="s">
        <v>44</v>
      </c>
      <c r="H18" s="307" t="s">
        <v>294</v>
      </c>
      <c r="I18" s="153" t="s">
        <v>336</v>
      </c>
      <c r="J18" s="385"/>
      <c r="K18" s="386"/>
      <c r="L18" s="341"/>
    </row>
    <row r="19" spans="1:12" s="188" customFormat="1" ht="37.5" customHeight="1">
      <c r="A19" s="232">
        <v>16</v>
      </c>
      <c r="B19" s="196">
        <v>41647</v>
      </c>
      <c r="C19" s="244" t="s">
        <v>601</v>
      </c>
      <c r="D19" s="228" t="s">
        <v>284</v>
      </c>
      <c r="E19" s="155">
        <v>24.76</v>
      </c>
      <c r="F19" s="306" t="s">
        <v>117</v>
      </c>
      <c r="G19" s="307" t="s">
        <v>171</v>
      </c>
      <c r="H19" s="307" t="s">
        <v>294</v>
      </c>
      <c r="I19" s="153" t="s">
        <v>336</v>
      </c>
      <c r="J19" s="385"/>
      <c r="K19" s="386"/>
      <c r="L19" s="341"/>
    </row>
    <row r="20" spans="1:11" ht="37.5" customHeight="1">
      <c r="A20" s="232">
        <v>17</v>
      </c>
      <c r="B20" s="274">
        <v>41654</v>
      </c>
      <c r="C20" s="154" t="s">
        <v>391</v>
      </c>
      <c r="D20" s="154" t="s">
        <v>330</v>
      </c>
      <c r="E20" s="155">
        <v>620</v>
      </c>
      <c r="F20" s="158" t="s">
        <v>115</v>
      </c>
      <c r="G20" s="159" t="s">
        <v>0</v>
      </c>
      <c r="H20" s="307" t="s">
        <v>295</v>
      </c>
      <c r="I20" s="153" t="s">
        <v>336</v>
      </c>
      <c r="J20" s="385"/>
      <c r="K20" s="240"/>
    </row>
    <row r="21" spans="1:12" s="188" customFormat="1" ht="37.5" customHeight="1">
      <c r="A21" s="232">
        <v>18</v>
      </c>
      <c r="B21" s="196">
        <v>41661</v>
      </c>
      <c r="C21" s="152" t="s">
        <v>441</v>
      </c>
      <c r="D21" s="308" t="s">
        <v>388</v>
      </c>
      <c r="E21" s="360">
        <v>12977</v>
      </c>
      <c r="F21" s="306" t="s">
        <v>27</v>
      </c>
      <c r="G21" s="307" t="s">
        <v>331</v>
      </c>
      <c r="H21" s="307" t="s">
        <v>294</v>
      </c>
      <c r="I21" s="153" t="s">
        <v>336</v>
      </c>
      <c r="J21" s="385"/>
      <c r="K21" s="386"/>
      <c r="L21" s="341"/>
    </row>
    <row r="22" spans="1:12" s="188" customFormat="1" ht="37.5" customHeight="1">
      <c r="A22" s="232">
        <v>19</v>
      </c>
      <c r="B22" s="196">
        <v>41673</v>
      </c>
      <c r="C22" s="152" t="s">
        <v>1035</v>
      </c>
      <c r="D22" s="154" t="s">
        <v>364</v>
      </c>
      <c r="E22" s="155">
        <v>137.18</v>
      </c>
      <c r="F22" s="151" t="s">
        <v>115</v>
      </c>
      <c r="G22" s="152" t="s">
        <v>0</v>
      </c>
      <c r="H22" s="307" t="s">
        <v>294</v>
      </c>
      <c r="I22" s="153" t="s">
        <v>336</v>
      </c>
      <c r="J22" s="385"/>
      <c r="K22" s="386"/>
      <c r="L22" s="341"/>
    </row>
    <row r="23" spans="1:12" s="188" customFormat="1" ht="37.5" customHeight="1">
      <c r="A23" s="232">
        <v>20</v>
      </c>
      <c r="B23" s="196">
        <v>41673</v>
      </c>
      <c r="C23" s="152" t="s">
        <v>1036</v>
      </c>
      <c r="D23" s="154" t="s">
        <v>364</v>
      </c>
      <c r="E23" s="155">
        <v>63.35</v>
      </c>
      <c r="F23" s="151" t="s">
        <v>116</v>
      </c>
      <c r="G23" s="152" t="s">
        <v>44</v>
      </c>
      <c r="H23" s="307" t="s">
        <v>294</v>
      </c>
      <c r="I23" s="153" t="s">
        <v>336</v>
      </c>
      <c r="J23" s="385"/>
      <c r="K23" s="386"/>
      <c r="L23" s="341"/>
    </row>
    <row r="24" spans="1:12" s="188" customFormat="1" ht="37.5" customHeight="1">
      <c r="A24" s="232">
        <v>21</v>
      </c>
      <c r="B24" s="196">
        <v>41673</v>
      </c>
      <c r="C24" s="152" t="s">
        <v>1037</v>
      </c>
      <c r="D24" s="154" t="s">
        <v>364</v>
      </c>
      <c r="E24" s="155">
        <v>2.06</v>
      </c>
      <c r="F24" s="151" t="s">
        <v>117</v>
      </c>
      <c r="G24" s="152" t="s">
        <v>171</v>
      </c>
      <c r="H24" s="307" t="s">
        <v>294</v>
      </c>
      <c r="I24" s="153" t="s">
        <v>336</v>
      </c>
      <c r="J24" s="385"/>
      <c r="K24" s="386"/>
      <c r="L24" s="341"/>
    </row>
    <row r="25" spans="1:12" s="188" customFormat="1" ht="37.5" customHeight="1">
      <c r="A25" s="232">
        <v>22</v>
      </c>
      <c r="B25" s="196">
        <v>41673</v>
      </c>
      <c r="C25" s="152" t="s">
        <v>603</v>
      </c>
      <c r="D25" s="308" t="s">
        <v>284</v>
      </c>
      <c r="E25" s="360">
        <v>126.7</v>
      </c>
      <c r="F25" s="306" t="s">
        <v>116</v>
      </c>
      <c r="G25" s="307" t="s">
        <v>44</v>
      </c>
      <c r="H25" s="307" t="s">
        <v>294</v>
      </c>
      <c r="I25" s="153" t="s">
        <v>336</v>
      </c>
      <c r="J25" s="385"/>
      <c r="K25" s="386"/>
      <c r="L25" s="341"/>
    </row>
    <row r="26" spans="1:12" s="188" customFormat="1" ht="37.5" customHeight="1">
      <c r="A26" s="232">
        <v>23</v>
      </c>
      <c r="B26" s="196">
        <v>41673</v>
      </c>
      <c r="C26" s="337" t="s">
        <v>604</v>
      </c>
      <c r="D26" s="305" t="s">
        <v>284</v>
      </c>
      <c r="E26" s="342">
        <v>4.12</v>
      </c>
      <c r="F26" s="306" t="s">
        <v>117</v>
      </c>
      <c r="G26" s="307" t="s">
        <v>171</v>
      </c>
      <c r="H26" s="307" t="s">
        <v>294</v>
      </c>
      <c r="I26" s="153" t="s">
        <v>336</v>
      </c>
      <c r="J26" s="385"/>
      <c r="K26" s="386"/>
      <c r="L26" s="341"/>
    </row>
    <row r="27" spans="1:11" ht="37.5" customHeight="1">
      <c r="A27" s="232">
        <v>24</v>
      </c>
      <c r="B27" s="274">
        <v>41673</v>
      </c>
      <c r="C27" s="152" t="s">
        <v>392</v>
      </c>
      <c r="D27" s="154" t="s">
        <v>329</v>
      </c>
      <c r="E27" s="155">
        <v>500</v>
      </c>
      <c r="F27" s="158" t="s">
        <v>115</v>
      </c>
      <c r="G27" s="159" t="s">
        <v>0</v>
      </c>
      <c r="H27" s="152" t="s">
        <v>295</v>
      </c>
      <c r="I27" s="153" t="s">
        <v>336</v>
      </c>
      <c r="J27" s="385"/>
      <c r="K27" s="240"/>
    </row>
    <row r="28" spans="1:11" ht="37.5" customHeight="1">
      <c r="A28" s="232">
        <v>25</v>
      </c>
      <c r="B28" s="546">
        <v>41675</v>
      </c>
      <c r="C28" s="547" t="s">
        <v>743</v>
      </c>
      <c r="D28" s="548" t="s">
        <v>749</v>
      </c>
      <c r="E28" s="549">
        <v>3000</v>
      </c>
      <c r="F28" s="550" t="s">
        <v>38</v>
      </c>
      <c r="G28" s="551" t="s">
        <v>183</v>
      </c>
      <c r="H28" s="551" t="s">
        <v>294</v>
      </c>
      <c r="I28" s="552" t="s">
        <v>751</v>
      </c>
      <c r="J28" s="553"/>
      <c r="K28" s="554"/>
    </row>
    <row r="29" spans="1:11" ht="37.5" customHeight="1">
      <c r="A29" s="232">
        <v>26</v>
      </c>
      <c r="B29" s="546">
        <v>41676</v>
      </c>
      <c r="C29" s="547" t="s">
        <v>744</v>
      </c>
      <c r="D29" s="548" t="s">
        <v>749</v>
      </c>
      <c r="E29" s="549">
        <v>500</v>
      </c>
      <c r="F29" s="550" t="s">
        <v>38</v>
      </c>
      <c r="G29" s="551" t="s">
        <v>183</v>
      </c>
      <c r="H29" s="551" t="s">
        <v>294</v>
      </c>
      <c r="I29" s="552" t="s">
        <v>751</v>
      </c>
      <c r="J29" s="553"/>
      <c r="K29" s="554"/>
    </row>
    <row r="30" spans="1:12" s="51" customFormat="1" ht="37.5" customHeight="1">
      <c r="A30" s="232">
        <v>27</v>
      </c>
      <c r="B30" s="196">
        <v>41690</v>
      </c>
      <c r="C30" s="152" t="s">
        <v>626</v>
      </c>
      <c r="D30" s="154" t="s">
        <v>332</v>
      </c>
      <c r="E30" s="155">
        <v>163.6</v>
      </c>
      <c r="F30" s="90" t="s">
        <v>115</v>
      </c>
      <c r="G30" s="159" t="s">
        <v>0</v>
      </c>
      <c r="H30" s="152" t="s">
        <v>294</v>
      </c>
      <c r="I30" s="153" t="s">
        <v>336</v>
      </c>
      <c r="J30" s="385"/>
      <c r="K30" s="240"/>
      <c r="L30" s="229"/>
    </row>
    <row r="31" spans="1:12" s="188" customFormat="1" ht="37.5" customHeight="1">
      <c r="A31" s="232">
        <v>28</v>
      </c>
      <c r="B31" s="196">
        <v>41690</v>
      </c>
      <c r="C31" s="152" t="s">
        <v>390</v>
      </c>
      <c r="D31" s="154" t="s">
        <v>237</v>
      </c>
      <c r="E31" s="155">
        <v>500</v>
      </c>
      <c r="F31" s="158" t="s">
        <v>115</v>
      </c>
      <c r="G31" s="159" t="s">
        <v>0</v>
      </c>
      <c r="H31" s="152" t="s">
        <v>295</v>
      </c>
      <c r="I31" s="153" t="s">
        <v>336</v>
      </c>
      <c r="J31" s="385"/>
      <c r="K31" s="240"/>
      <c r="L31" s="341"/>
    </row>
    <row r="32" spans="1:12" s="188" customFormat="1" ht="37.5" customHeight="1">
      <c r="A32" s="232">
        <v>29</v>
      </c>
      <c r="B32" s="196">
        <v>41705</v>
      </c>
      <c r="C32" s="312" t="s">
        <v>584</v>
      </c>
      <c r="D32" s="305" t="s">
        <v>361</v>
      </c>
      <c r="E32" s="342">
        <v>11739.25</v>
      </c>
      <c r="F32" s="393" t="s">
        <v>21</v>
      </c>
      <c r="G32" s="307" t="s">
        <v>208</v>
      </c>
      <c r="H32" s="307" t="s">
        <v>294</v>
      </c>
      <c r="I32" s="153" t="s">
        <v>362</v>
      </c>
      <c r="J32" s="385"/>
      <c r="K32" s="387"/>
      <c r="L32" s="341"/>
    </row>
    <row r="33" spans="1:12" s="188" customFormat="1" ht="37.5" customHeight="1">
      <c r="A33" s="232">
        <v>30</v>
      </c>
      <c r="B33" s="196">
        <v>41705</v>
      </c>
      <c r="C33" s="312" t="s">
        <v>584</v>
      </c>
      <c r="D33" s="308" t="s">
        <v>361</v>
      </c>
      <c r="E33" s="360">
        <v>2582.64</v>
      </c>
      <c r="F33" s="306" t="s">
        <v>26</v>
      </c>
      <c r="G33" s="307" t="s">
        <v>100</v>
      </c>
      <c r="H33" s="307" t="s">
        <v>294</v>
      </c>
      <c r="I33" s="153" t="s">
        <v>384</v>
      </c>
      <c r="J33" s="385"/>
      <c r="K33" s="386"/>
      <c r="L33" s="341"/>
    </row>
    <row r="34" spans="1:12" s="188" customFormat="1" ht="37.5" customHeight="1">
      <c r="A34" s="232">
        <v>31</v>
      </c>
      <c r="B34" s="196">
        <v>41708</v>
      </c>
      <c r="C34" s="152" t="s">
        <v>609</v>
      </c>
      <c r="D34" s="154" t="s">
        <v>333</v>
      </c>
      <c r="E34" s="155">
        <v>0.61</v>
      </c>
      <c r="F34" s="151" t="s">
        <v>27</v>
      </c>
      <c r="G34" s="152" t="s">
        <v>331</v>
      </c>
      <c r="H34" s="307" t="s">
        <v>294</v>
      </c>
      <c r="I34" s="153" t="s">
        <v>336</v>
      </c>
      <c r="J34" s="385"/>
      <c r="K34" s="386"/>
      <c r="L34" s="341"/>
    </row>
    <row r="35" spans="1:12" s="188" customFormat="1" ht="37.5" customHeight="1">
      <c r="A35" s="232">
        <v>32</v>
      </c>
      <c r="B35" s="196">
        <v>41708</v>
      </c>
      <c r="C35" s="152" t="s">
        <v>610</v>
      </c>
      <c r="D35" s="154" t="s">
        <v>333</v>
      </c>
      <c r="E35" s="155">
        <f>211.34+7.74</f>
        <v>219.08</v>
      </c>
      <c r="F35" s="151" t="s">
        <v>115</v>
      </c>
      <c r="G35" s="152" t="s">
        <v>0</v>
      </c>
      <c r="H35" s="307" t="s">
        <v>294</v>
      </c>
      <c r="I35" s="153" t="s">
        <v>336</v>
      </c>
      <c r="J35" s="385"/>
      <c r="K35" s="386"/>
      <c r="L35" s="341"/>
    </row>
    <row r="36" spans="1:12" s="188" customFormat="1" ht="37.5" customHeight="1">
      <c r="A36" s="232">
        <v>33</v>
      </c>
      <c r="B36" s="196">
        <v>41708</v>
      </c>
      <c r="C36" s="152" t="s">
        <v>611</v>
      </c>
      <c r="D36" s="154" t="s">
        <v>333</v>
      </c>
      <c r="E36" s="155">
        <v>97.71</v>
      </c>
      <c r="F36" s="151" t="s">
        <v>116</v>
      </c>
      <c r="G36" s="152" t="s">
        <v>44</v>
      </c>
      <c r="H36" s="307" t="s">
        <v>294</v>
      </c>
      <c r="I36" s="153" t="s">
        <v>336</v>
      </c>
      <c r="J36" s="385"/>
      <c r="K36" s="386"/>
      <c r="L36" s="341"/>
    </row>
    <row r="37" spans="1:12" s="188" customFormat="1" ht="37.5" customHeight="1">
      <c r="A37" s="232">
        <v>34</v>
      </c>
      <c r="B37" s="196">
        <v>41708</v>
      </c>
      <c r="C37" s="152" t="s">
        <v>612</v>
      </c>
      <c r="D37" s="154" t="s">
        <v>333</v>
      </c>
      <c r="E37" s="155">
        <v>4.13</v>
      </c>
      <c r="F37" s="151" t="s">
        <v>117</v>
      </c>
      <c r="G37" s="152" t="s">
        <v>171</v>
      </c>
      <c r="H37" s="307" t="s">
        <v>294</v>
      </c>
      <c r="I37" s="153" t="s">
        <v>336</v>
      </c>
      <c r="J37" s="385"/>
      <c r="K37" s="386"/>
      <c r="L37" s="341"/>
    </row>
    <row r="38" spans="1:12" s="188" customFormat="1" ht="37.5" customHeight="1">
      <c r="A38" s="232">
        <v>35</v>
      </c>
      <c r="B38" s="196">
        <v>41708</v>
      </c>
      <c r="C38" s="312" t="s">
        <v>607</v>
      </c>
      <c r="D38" s="308" t="s">
        <v>284</v>
      </c>
      <c r="E38" s="360">
        <v>195.42</v>
      </c>
      <c r="F38" s="151" t="s">
        <v>116</v>
      </c>
      <c r="G38" s="152" t="s">
        <v>44</v>
      </c>
      <c r="H38" s="307" t="s">
        <v>294</v>
      </c>
      <c r="I38" s="153" t="s">
        <v>336</v>
      </c>
      <c r="J38" s="385"/>
      <c r="K38" s="386"/>
      <c r="L38" s="341"/>
    </row>
    <row r="39" spans="1:12" s="51" customFormat="1" ht="37.5" customHeight="1">
      <c r="A39" s="232">
        <v>36</v>
      </c>
      <c r="B39" s="196">
        <v>41708</v>
      </c>
      <c r="C39" s="312" t="s">
        <v>608</v>
      </c>
      <c r="D39" s="308" t="s">
        <v>284</v>
      </c>
      <c r="E39" s="360">
        <v>8.26</v>
      </c>
      <c r="F39" s="151" t="s">
        <v>117</v>
      </c>
      <c r="G39" s="152" t="s">
        <v>171</v>
      </c>
      <c r="H39" s="307" t="s">
        <v>294</v>
      </c>
      <c r="I39" s="153" t="s">
        <v>336</v>
      </c>
      <c r="J39" s="385"/>
      <c r="K39" s="386"/>
      <c r="L39" s="229"/>
    </row>
    <row r="40" spans="1:12" s="51" customFormat="1" ht="37.5" customHeight="1">
      <c r="A40" s="232">
        <v>37</v>
      </c>
      <c r="B40" s="196">
        <v>41711</v>
      </c>
      <c r="C40" s="352" t="s">
        <v>462</v>
      </c>
      <c r="D40" s="308" t="s">
        <v>547</v>
      </c>
      <c r="E40" s="558">
        <v>46207.66</v>
      </c>
      <c r="F40" s="368" t="s">
        <v>38</v>
      </c>
      <c r="G40" s="307" t="s">
        <v>183</v>
      </c>
      <c r="H40" s="307" t="s">
        <v>295</v>
      </c>
      <c r="I40" s="153" t="s">
        <v>383</v>
      </c>
      <c r="J40" s="385"/>
      <c r="K40" s="386"/>
      <c r="L40" s="229"/>
    </row>
    <row r="41" spans="1:12" s="51" customFormat="1" ht="37.5" customHeight="1">
      <c r="A41" s="232">
        <v>38</v>
      </c>
      <c r="B41" s="196">
        <v>41715</v>
      </c>
      <c r="C41" s="352" t="s">
        <v>463</v>
      </c>
      <c r="D41" s="150" t="s">
        <v>464</v>
      </c>
      <c r="E41" s="367">
        <v>3750</v>
      </c>
      <c r="F41" s="306" t="s">
        <v>27</v>
      </c>
      <c r="G41" s="307" t="s">
        <v>331</v>
      </c>
      <c r="H41" s="307" t="s">
        <v>294</v>
      </c>
      <c r="I41" s="153" t="s">
        <v>335</v>
      </c>
      <c r="J41" s="385"/>
      <c r="K41" s="387"/>
      <c r="L41" s="229"/>
    </row>
    <row r="42" spans="1:12" s="51" customFormat="1" ht="37.5" customHeight="1">
      <c r="A42" s="232">
        <v>39</v>
      </c>
      <c r="B42" s="196">
        <v>41717</v>
      </c>
      <c r="C42" s="312" t="s">
        <v>581</v>
      </c>
      <c r="D42" s="305" t="s">
        <v>355</v>
      </c>
      <c r="E42" s="351">
        <v>9066.2</v>
      </c>
      <c r="F42" s="393" t="s">
        <v>21</v>
      </c>
      <c r="G42" s="307" t="s">
        <v>208</v>
      </c>
      <c r="H42" s="307" t="s">
        <v>294</v>
      </c>
      <c r="I42" s="153" t="s">
        <v>360</v>
      </c>
      <c r="J42" s="385"/>
      <c r="K42" s="387"/>
      <c r="L42" s="229"/>
    </row>
    <row r="43" spans="1:12" s="51" customFormat="1" ht="37.5" customHeight="1">
      <c r="A43" s="232">
        <v>40</v>
      </c>
      <c r="B43" s="196">
        <v>41717</v>
      </c>
      <c r="C43" s="312" t="s">
        <v>581</v>
      </c>
      <c r="D43" s="305" t="s">
        <v>355</v>
      </c>
      <c r="E43" s="351">
        <v>1994.56</v>
      </c>
      <c r="F43" s="306" t="s">
        <v>26</v>
      </c>
      <c r="G43" s="307" t="s">
        <v>100</v>
      </c>
      <c r="H43" s="307" t="s">
        <v>294</v>
      </c>
      <c r="I43" s="153" t="s">
        <v>384</v>
      </c>
      <c r="J43" s="385"/>
      <c r="K43" s="387"/>
      <c r="L43" s="229"/>
    </row>
    <row r="44" spans="1:12" s="51" customFormat="1" ht="37.5" customHeight="1">
      <c r="A44" s="232">
        <v>41</v>
      </c>
      <c r="B44" s="196">
        <v>41729</v>
      </c>
      <c r="C44" s="352" t="s">
        <v>386</v>
      </c>
      <c r="D44" s="305" t="s">
        <v>293</v>
      </c>
      <c r="E44" s="342">
        <v>0.67</v>
      </c>
      <c r="F44" s="306" t="s">
        <v>23</v>
      </c>
      <c r="G44" s="307" t="s">
        <v>97</v>
      </c>
      <c r="H44" s="307" t="s">
        <v>294</v>
      </c>
      <c r="I44" s="153" t="s">
        <v>366</v>
      </c>
      <c r="J44" s="385"/>
      <c r="K44" s="388"/>
      <c r="L44" s="229"/>
    </row>
    <row r="45" spans="1:12" s="51" customFormat="1" ht="37.5" customHeight="1">
      <c r="A45" s="232">
        <v>42</v>
      </c>
      <c r="B45" s="546">
        <v>41729</v>
      </c>
      <c r="C45" s="547" t="s">
        <v>386</v>
      </c>
      <c r="D45" s="548" t="s">
        <v>293</v>
      </c>
      <c r="E45" s="549">
        <v>0.97</v>
      </c>
      <c r="F45" s="550" t="s">
        <v>38</v>
      </c>
      <c r="G45" s="551" t="s">
        <v>183</v>
      </c>
      <c r="H45" s="551" t="s">
        <v>294</v>
      </c>
      <c r="I45" s="552" t="s">
        <v>751</v>
      </c>
      <c r="J45" s="553"/>
      <c r="K45" s="554"/>
      <c r="L45" s="229"/>
    </row>
    <row r="46" spans="1:12" s="51" customFormat="1" ht="37.5" customHeight="1">
      <c r="A46" s="232">
        <v>43</v>
      </c>
      <c r="B46" s="196">
        <v>41733</v>
      </c>
      <c r="C46" s="152" t="s">
        <v>1032</v>
      </c>
      <c r="D46" s="305" t="s">
        <v>364</v>
      </c>
      <c r="E46" s="342">
        <v>174.82000000000002</v>
      </c>
      <c r="F46" s="306" t="s">
        <v>115</v>
      </c>
      <c r="G46" s="307" t="s">
        <v>0</v>
      </c>
      <c r="H46" s="307" t="s">
        <v>294</v>
      </c>
      <c r="I46" s="153" t="s">
        <v>336</v>
      </c>
      <c r="J46" s="385"/>
      <c r="K46" s="388"/>
      <c r="L46" s="229"/>
    </row>
    <row r="47" spans="1:12" s="51" customFormat="1" ht="37.5" customHeight="1">
      <c r="A47" s="232">
        <v>44</v>
      </c>
      <c r="B47" s="196">
        <v>41733</v>
      </c>
      <c r="C47" s="152" t="s">
        <v>1033</v>
      </c>
      <c r="D47" s="305" t="s">
        <v>364</v>
      </c>
      <c r="E47" s="342">
        <v>67.76</v>
      </c>
      <c r="F47" s="306" t="s">
        <v>116</v>
      </c>
      <c r="G47" s="307" t="s">
        <v>44</v>
      </c>
      <c r="H47" s="307" t="s">
        <v>294</v>
      </c>
      <c r="I47" s="153" t="s">
        <v>336</v>
      </c>
      <c r="J47" s="385"/>
      <c r="K47" s="388"/>
      <c r="L47" s="229"/>
    </row>
    <row r="48" spans="1:12" s="51" customFormat="1" ht="37.5" customHeight="1">
      <c r="A48" s="232">
        <v>45</v>
      </c>
      <c r="B48" s="196">
        <v>41733</v>
      </c>
      <c r="C48" s="152" t="s">
        <v>1034</v>
      </c>
      <c r="D48" s="305" t="s">
        <v>364</v>
      </c>
      <c r="E48" s="342">
        <v>4.13</v>
      </c>
      <c r="F48" s="306" t="s">
        <v>117</v>
      </c>
      <c r="G48" s="307" t="s">
        <v>171</v>
      </c>
      <c r="H48" s="307" t="s">
        <v>294</v>
      </c>
      <c r="I48" s="153" t="s">
        <v>336</v>
      </c>
      <c r="J48" s="385"/>
      <c r="K48" s="388"/>
      <c r="L48" s="229"/>
    </row>
    <row r="49" spans="1:12" s="51" customFormat="1" ht="37.5" customHeight="1">
      <c r="A49" s="232">
        <v>46</v>
      </c>
      <c r="B49" s="196">
        <v>41733</v>
      </c>
      <c r="C49" s="352" t="s">
        <v>616</v>
      </c>
      <c r="D49" s="305" t="s">
        <v>364</v>
      </c>
      <c r="E49" s="342">
        <v>0.97</v>
      </c>
      <c r="F49" s="306" t="s">
        <v>27</v>
      </c>
      <c r="G49" s="307" t="s">
        <v>331</v>
      </c>
      <c r="H49" s="307" t="s">
        <v>294</v>
      </c>
      <c r="I49" s="153" t="s">
        <v>336</v>
      </c>
      <c r="J49" s="385"/>
      <c r="K49" s="388"/>
      <c r="L49" s="229"/>
    </row>
    <row r="50" spans="1:12" s="51" customFormat="1" ht="37.5" customHeight="1">
      <c r="A50" s="232">
        <v>47</v>
      </c>
      <c r="B50" s="196">
        <v>41733</v>
      </c>
      <c r="C50" s="154" t="s">
        <v>614</v>
      </c>
      <c r="D50" s="305" t="s">
        <v>284</v>
      </c>
      <c r="E50" s="342">
        <v>135.52</v>
      </c>
      <c r="F50" s="390" t="s">
        <v>116</v>
      </c>
      <c r="G50" s="152" t="s">
        <v>44</v>
      </c>
      <c r="H50" s="307" t="s">
        <v>294</v>
      </c>
      <c r="I50" s="153" t="s">
        <v>336</v>
      </c>
      <c r="J50" s="385"/>
      <c r="K50" s="388"/>
      <c r="L50" s="229"/>
    </row>
    <row r="51" spans="1:12" s="51" customFormat="1" ht="37.5" customHeight="1">
      <c r="A51" s="232">
        <v>48</v>
      </c>
      <c r="B51" s="196">
        <v>41733</v>
      </c>
      <c r="C51" s="154" t="s">
        <v>615</v>
      </c>
      <c r="D51" s="305" t="s">
        <v>284</v>
      </c>
      <c r="E51" s="342">
        <v>8.26</v>
      </c>
      <c r="F51" s="151" t="s">
        <v>117</v>
      </c>
      <c r="G51" s="152" t="s">
        <v>171</v>
      </c>
      <c r="H51" s="307" t="s">
        <v>294</v>
      </c>
      <c r="I51" s="153" t="s">
        <v>336</v>
      </c>
      <c r="J51" s="385"/>
      <c r="K51" s="388"/>
      <c r="L51" s="229"/>
    </row>
    <row r="52" spans="1:12" s="51" customFormat="1" ht="37.5" customHeight="1">
      <c r="A52" s="232">
        <v>49</v>
      </c>
      <c r="B52" s="196">
        <v>41736</v>
      </c>
      <c r="C52" s="314" t="s">
        <v>655</v>
      </c>
      <c r="D52" s="314" t="s">
        <v>488</v>
      </c>
      <c r="E52" s="351">
        <v>3744</v>
      </c>
      <c r="F52" s="368" t="s">
        <v>115</v>
      </c>
      <c r="G52" s="307" t="s">
        <v>0</v>
      </c>
      <c r="H52" s="307" t="s">
        <v>294</v>
      </c>
      <c r="I52" s="153" t="s">
        <v>336</v>
      </c>
      <c r="J52" s="385"/>
      <c r="K52" s="387"/>
      <c r="L52" s="229"/>
    </row>
    <row r="53" spans="1:12" s="51" customFormat="1" ht="37.5" customHeight="1">
      <c r="A53" s="232">
        <v>50</v>
      </c>
      <c r="B53" s="196">
        <v>41743</v>
      </c>
      <c r="C53" s="314" t="s">
        <v>582</v>
      </c>
      <c r="D53" s="314" t="s">
        <v>583</v>
      </c>
      <c r="E53" s="351">
        <v>8071.7</v>
      </c>
      <c r="F53" s="393" t="s">
        <v>21</v>
      </c>
      <c r="G53" s="307" t="s">
        <v>208</v>
      </c>
      <c r="H53" s="307" t="s">
        <v>294</v>
      </c>
      <c r="I53" s="153" t="s">
        <v>359</v>
      </c>
      <c r="J53" s="385"/>
      <c r="K53" s="387"/>
      <c r="L53" s="229"/>
    </row>
    <row r="54" spans="1:12" s="188" customFormat="1" ht="37.5" customHeight="1">
      <c r="A54" s="232">
        <v>51</v>
      </c>
      <c r="B54" s="196">
        <v>41743</v>
      </c>
      <c r="C54" s="314" t="s">
        <v>582</v>
      </c>
      <c r="D54" s="314" t="s">
        <v>583</v>
      </c>
      <c r="E54" s="351">
        <v>1775.77</v>
      </c>
      <c r="F54" s="306" t="s">
        <v>26</v>
      </c>
      <c r="G54" s="307" t="s">
        <v>100</v>
      </c>
      <c r="H54" s="307" t="s">
        <v>294</v>
      </c>
      <c r="I54" s="153" t="s">
        <v>384</v>
      </c>
      <c r="J54" s="385"/>
      <c r="K54" s="387"/>
      <c r="L54" s="341"/>
    </row>
    <row r="55" spans="1:12" s="188" customFormat="1" ht="37.5" customHeight="1">
      <c r="A55" s="232">
        <v>52</v>
      </c>
      <c r="B55" s="196">
        <v>41754</v>
      </c>
      <c r="C55" s="314" t="s">
        <v>586</v>
      </c>
      <c r="D55" s="314" t="s">
        <v>587</v>
      </c>
      <c r="E55" s="351">
        <v>1500</v>
      </c>
      <c r="F55" s="393" t="s">
        <v>21</v>
      </c>
      <c r="G55" s="307" t="s">
        <v>208</v>
      </c>
      <c r="H55" s="307" t="s">
        <v>294</v>
      </c>
      <c r="I55" s="153" t="s">
        <v>357</v>
      </c>
      <c r="J55" s="385"/>
      <c r="K55" s="387"/>
      <c r="L55" s="341"/>
    </row>
    <row r="56" spans="1:12" s="188" customFormat="1" ht="37.5" customHeight="1">
      <c r="A56" s="232">
        <v>53</v>
      </c>
      <c r="B56" s="196">
        <v>41754</v>
      </c>
      <c r="C56" s="314" t="s">
        <v>586</v>
      </c>
      <c r="D56" s="314" t="s">
        <v>587</v>
      </c>
      <c r="E56" s="351">
        <v>330</v>
      </c>
      <c r="F56" s="306" t="s">
        <v>26</v>
      </c>
      <c r="G56" s="307" t="s">
        <v>100</v>
      </c>
      <c r="H56" s="307" t="s">
        <v>294</v>
      </c>
      <c r="I56" s="153" t="s">
        <v>384</v>
      </c>
      <c r="J56" s="385"/>
      <c r="K56" s="387"/>
      <c r="L56" s="341"/>
    </row>
    <row r="57" spans="1:12" s="188" customFormat="1" ht="37.5" customHeight="1">
      <c r="A57" s="232">
        <v>54</v>
      </c>
      <c r="B57" s="196">
        <v>41764</v>
      </c>
      <c r="C57" s="152" t="s">
        <v>631</v>
      </c>
      <c r="D57" s="154" t="s">
        <v>333</v>
      </c>
      <c r="E57" s="155">
        <v>0.8</v>
      </c>
      <c r="F57" s="151" t="s">
        <v>27</v>
      </c>
      <c r="G57" s="152" t="s">
        <v>331</v>
      </c>
      <c r="H57" s="307" t="s">
        <v>294</v>
      </c>
      <c r="I57" s="153" t="s">
        <v>336</v>
      </c>
      <c r="J57" s="385"/>
      <c r="K57" s="386"/>
      <c r="L57" s="341"/>
    </row>
    <row r="58" spans="1:12" s="51" customFormat="1" ht="37.5" customHeight="1">
      <c r="A58" s="232">
        <v>55</v>
      </c>
      <c r="B58" s="196">
        <v>41764</v>
      </c>
      <c r="C58" s="152" t="s">
        <v>632</v>
      </c>
      <c r="D58" s="154" t="s">
        <v>333</v>
      </c>
      <c r="E58" s="155">
        <f>211.8+8.71</f>
        <v>220.51000000000002</v>
      </c>
      <c r="F58" s="151" t="s">
        <v>115</v>
      </c>
      <c r="G58" s="152" t="s">
        <v>0</v>
      </c>
      <c r="H58" s="307" t="s">
        <v>294</v>
      </c>
      <c r="I58" s="153" t="s">
        <v>336</v>
      </c>
      <c r="J58" s="385"/>
      <c r="K58" s="386"/>
      <c r="L58" s="229"/>
    </row>
    <row r="59" spans="1:12" s="51" customFormat="1" ht="37.5" customHeight="1">
      <c r="A59" s="232">
        <v>56</v>
      </c>
      <c r="B59" s="196">
        <v>41764</v>
      </c>
      <c r="C59" s="152" t="s">
        <v>633</v>
      </c>
      <c r="D59" s="154" t="s">
        <v>333</v>
      </c>
      <c r="E59" s="155">
        <v>97.9</v>
      </c>
      <c r="F59" s="151" t="s">
        <v>116</v>
      </c>
      <c r="G59" s="152" t="s">
        <v>44</v>
      </c>
      <c r="H59" s="307" t="s">
        <v>294</v>
      </c>
      <c r="I59" s="153" t="s">
        <v>336</v>
      </c>
      <c r="J59" s="385"/>
      <c r="K59" s="386"/>
      <c r="L59" s="229"/>
    </row>
    <row r="60" spans="1:12" s="51" customFormat="1" ht="37.5" customHeight="1">
      <c r="A60" s="232">
        <v>57</v>
      </c>
      <c r="B60" s="196">
        <v>41764</v>
      </c>
      <c r="C60" s="152" t="s">
        <v>634</v>
      </c>
      <c r="D60" s="154" t="s">
        <v>333</v>
      </c>
      <c r="E60" s="155">
        <v>4.13</v>
      </c>
      <c r="F60" s="151" t="s">
        <v>117</v>
      </c>
      <c r="G60" s="152" t="s">
        <v>171</v>
      </c>
      <c r="H60" s="307" t="s">
        <v>294</v>
      </c>
      <c r="I60" s="153" t="s">
        <v>336</v>
      </c>
      <c r="J60" s="385"/>
      <c r="K60" s="386"/>
      <c r="L60" s="229"/>
    </row>
    <row r="61" spans="1:12" s="51" customFormat="1" ht="37.5" customHeight="1">
      <c r="A61" s="232">
        <v>58</v>
      </c>
      <c r="B61" s="196">
        <v>41764</v>
      </c>
      <c r="C61" s="314" t="s">
        <v>629</v>
      </c>
      <c r="D61" s="314" t="s">
        <v>284</v>
      </c>
      <c r="E61" s="351">
        <v>195.8</v>
      </c>
      <c r="F61" s="151" t="s">
        <v>116</v>
      </c>
      <c r="G61" s="152" t="s">
        <v>44</v>
      </c>
      <c r="H61" s="307" t="s">
        <v>294</v>
      </c>
      <c r="I61" s="153" t="s">
        <v>336</v>
      </c>
      <c r="J61" s="385"/>
      <c r="K61" s="387"/>
      <c r="L61" s="229"/>
    </row>
    <row r="62" spans="1:12" s="51" customFormat="1" ht="37.5" customHeight="1">
      <c r="A62" s="232">
        <v>59</v>
      </c>
      <c r="B62" s="196">
        <v>41764</v>
      </c>
      <c r="C62" s="314" t="s">
        <v>630</v>
      </c>
      <c r="D62" s="314" t="s">
        <v>284</v>
      </c>
      <c r="E62" s="351">
        <v>8.26</v>
      </c>
      <c r="F62" s="151" t="s">
        <v>117</v>
      </c>
      <c r="G62" s="152" t="s">
        <v>171</v>
      </c>
      <c r="H62" s="307" t="s">
        <v>294</v>
      </c>
      <c r="I62" s="153" t="s">
        <v>336</v>
      </c>
      <c r="J62" s="385"/>
      <c r="K62" s="387"/>
      <c r="L62" s="229"/>
    </row>
    <row r="63" spans="1:12" s="51" customFormat="1" ht="37.5" customHeight="1">
      <c r="A63" s="232">
        <v>60</v>
      </c>
      <c r="B63" s="196">
        <v>41764</v>
      </c>
      <c r="C63" s="314" t="s">
        <v>663</v>
      </c>
      <c r="D63" s="314" t="s">
        <v>451</v>
      </c>
      <c r="E63" s="351">
        <v>48</v>
      </c>
      <c r="F63" s="151" t="s">
        <v>115</v>
      </c>
      <c r="G63" s="152" t="s">
        <v>0</v>
      </c>
      <c r="H63" s="307" t="s">
        <v>294</v>
      </c>
      <c r="I63" s="153" t="s">
        <v>336</v>
      </c>
      <c r="J63" s="385"/>
      <c r="K63" s="387"/>
      <c r="L63" s="229"/>
    </row>
    <row r="64" spans="1:12" s="51" customFormat="1" ht="37.5" customHeight="1">
      <c r="A64" s="232">
        <v>61</v>
      </c>
      <c r="B64" s="196">
        <v>41767</v>
      </c>
      <c r="C64" s="314" t="s">
        <v>664</v>
      </c>
      <c r="D64" s="314" t="s">
        <v>497</v>
      </c>
      <c r="E64" s="351">
        <v>560</v>
      </c>
      <c r="F64" s="390" t="s">
        <v>115</v>
      </c>
      <c r="G64" s="152" t="s">
        <v>0</v>
      </c>
      <c r="H64" s="307" t="s">
        <v>294</v>
      </c>
      <c r="I64" s="153" t="s">
        <v>336</v>
      </c>
      <c r="J64" s="385"/>
      <c r="K64" s="387"/>
      <c r="L64" s="229"/>
    </row>
    <row r="65" spans="1:12" s="188" customFormat="1" ht="37.5" customHeight="1">
      <c r="A65" s="232">
        <v>62</v>
      </c>
      <c r="B65" s="196">
        <v>41772</v>
      </c>
      <c r="C65" s="309" t="s">
        <v>498</v>
      </c>
      <c r="D65" s="305" t="s">
        <v>547</v>
      </c>
      <c r="E65" s="342">
        <v>6610.46</v>
      </c>
      <c r="F65" s="306" t="s">
        <v>38</v>
      </c>
      <c r="G65" s="307" t="s">
        <v>183</v>
      </c>
      <c r="H65" s="307" t="s">
        <v>294</v>
      </c>
      <c r="I65" s="153" t="s">
        <v>499</v>
      </c>
      <c r="J65" s="385"/>
      <c r="K65" s="387"/>
      <c r="L65" s="341"/>
    </row>
    <row r="66" spans="1:12" s="188" customFormat="1" ht="37.5" customHeight="1">
      <c r="A66" s="232">
        <v>63</v>
      </c>
      <c r="B66" s="196">
        <v>41806</v>
      </c>
      <c r="C66" s="309" t="s">
        <v>676</v>
      </c>
      <c r="D66" s="305" t="s">
        <v>382</v>
      </c>
      <c r="E66" s="342">
        <v>58</v>
      </c>
      <c r="F66" s="306" t="s">
        <v>27</v>
      </c>
      <c r="G66" s="307" t="s">
        <v>331</v>
      </c>
      <c r="H66" s="307" t="s">
        <v>294</v>
      </c>
      <c r="I66" s="153" t="s">
        <v>366</v>
      </c>
      <c r="J66" s="385"/>
      <c r="K66" s="387"/>
      <c r="L66" s="341"/>
    </row>
    <row r="67" spans="1:12" s="188" customFormat="1" ht="37.5" customHeight="1">
      <c r="A67" s="232">
        <v>64</v>
      </c>
      <c r="B67" s="546">
        <v>41807</v>
      </c>
      <c r="C67" s="547" t="s">
        <v>745</v>
      </c>
      <c r="D67" s="548" t="s">
        <v>284</v>
      </c>
      <c r="E67" s="549">
        <v>165</v>
      </c>
      <c r="F67" s="653" t="s">
        <v>27</v>
      </c>
      <c r="G67" s="575" t="s">
        <v>331</v>
      </c>
      <c r="H67" s="551" t="s">
        <v>294</v>
      </c>
      <c r="I67" s="552" t="s">
        <v>751</v>
      </c>
      <c r="J67" s="553"/>
      <c r="K67" s="554"/>
      <c r="L67" s="341"/>
    </row>
    <row r="68" spans="1:12" s="188" customFormat="1" ht="37.5" customHeight="1">
      <c r="A68" s="232">
        <v>65</v>
      </c>
      <c r="B68" s="196">
        <v>41820</v>
      </c>
      <c r="C68" s="314" t="s">
        <v>588</v>
      </c>
      <c r="D68" s="314" t="s">
        <v>587</v>
      </c>
      <c r="E68" s="351">
        <v>443.7</v>
      </c>
      <c r="F68" s="393" t="s">
        <v>21</v>
      </c>
      <c r="G68" s="307" t="s">
        <v>208</v>
      </c>
      <c r="H68" s="307" t="s">
        <v>294</v>
      </c>
      <c r="I68" s="153" t="s">
        <v>357</v>
      </c>
      <c r="J68" s="385"/>
      <c r="K68" s="387"/>
      <c r="L68" s="341"/>
    </row>
    <row r="69" spans="1:12" s="188" customFormat="1" ht="37.5" customHeight="1">
      <c r="A69" s="232">
        <v>66</v>
      </c>
      <c r="B69" s="196">
        <v>41820</v>
      </c>
      <c r="C69" s="312" t="s">
        <v>588</v>
      </c>
      <c r="D69" s="312" t="s">
        <v>587</v>
      </c>
      <c r="E69" s="363">
        <v>97.61</v>
      </c>
      <c r="F69" s="306" t="s">
        <v>26</v>
      </c>
      <c r="G69" s="307" t="s">
        <v>100</v>
      </c>
      <c r="H69" s="307" t="s">
        <v>294</v>
      </c>
      <c r="I69" s="153" t="s">
        <v>384</v>
      </c>
      <c r="J69" s="385"/>
      <c r="K69" s="386"/>
      <c r="L69" s="341"/>
    </row>
    <row r="70" spans="1:12" s="188" customFormat="1" ht="37.5" customHeight="1">
      <c r="A70" s="232">
        <v>67</v>
      </c>
      <c r="B70" s="196">
        <v>41820</v>
      </c>
      <c r="C70" s="352" t="s">
        <v>386</v>
      </c>
      <c r="D70" s="308" t="s">
        <v>293</v>
      </c>
      <c r="E70" s="360">
        <v>0.67</v>
      </c>
      <c r="F70" s="306" t="s">
        <v>23</v>
      </c>
      <c r="G70" s="307" t="s">
        <v>97</v>
      </c>
      <c r="H70" s="307" t="s">
        <v>294</v>
      </c>
      <c r="I70" s="153" t="s">
        <v>366</v>
      </c>
      <c r="J70" s="385"/>
      <c r="K70" s="389"/>
      <c r="L70" s="341"/>
    </row>
    <row r="71" spans="1:12" s="188" customFormat="1" ht="37.5" customHeight="1">
      <c r="A71" s="232">
        <v>68</v>
      </c>
      <c r="B71" s="196">
        <v>41827</v>
      </c>
      <c r="C71" s="152" t="s">
        <v>639</v>
      </c>
      <c r="D71" s="154" t="s">
        <v>333</v>
      </c>
      <c r="E71" s="155">
        <v>0.45</v>
      </c>
      <c r="F71" s="151" t="s">
        <v>27</v>
      </c>
      <c r="G71" s="152" t="s">
        <v>331</v>
      </c>
      <c r="H71" s="307" t="s">
        <v>294</v>
      </c>
      <c r="I71" s="153" t="s">
        <v>336</v>
      </c>
      <c r="J71" s="385"/>
      <c r="K71" s="389"/>
      <c r="L71" s="341"/>
    </row>
    <row r="72" spans="1:12" s="188" customFormat="1" ht="37.5" customHeight="1">
      <c r="A72" s="232">
        <v>69</v>
      </c>
      <c r="B72" s="196">
        <v>41827</v>
      </c>
      <c r="C72" s="244" t="s">
        <v>640</v>
      </c>
      <c r="D72" s="228" t="s">
        <v>333</v>
      </c>
      <c r="E72" s="155">
        <f>212.25+10.17</f>
        <v>222.42</v>
      </c>
      <c r="F72" s="151" t="s">
        <v>115</v>
      </c>
      <c r="G72" s="152" t="s">
        <v>0</v>
      </c>
      <c r="H72" s="307" t="s">
        <v>294</v>
      </c>
      <c r="I72" s="153" t="s">
        <v>336</v>
      </c>
      <c r="J72" s="385"/>
      <c r="K72" s="389"/>
      <c r="L72" s="341"/>
    </row>
    <row r="73" spans="1:12" s="188" customFormat="1" ht="37.5" customHeight="1">
      <c r="A73" s="232">
        <v>70</v>
      </c>
      <c r="B73" s="196">
        <v>41827</v>
      </c>
      <c r="C73" s="152" t="s">
        <v>641</v>
      </c>
      <c r="D73" s="154" t="s">
        <v>333</v>
      </c>
      <c r="E73" s="155">
        <v>98.09</v>
      </c>
      <c r="F73" s="151" t="s">
        <v>116</v>
      </c>
      <c r="G73" s="152" t="s">
        <v>44</v>
      </c>
      <c r="H73" s="307" t="s">
        <v>294</v>
      </c>
      <c r="I73" s="153" t="s">
        <v>336</v>
      </c>
      <c r="J73" s="385"/>
      <c r="K73" s="389"/>
      <c r="L73" s="341"/>
    </row>
    <row r="74" spans="1:12" s="188" customFormat="1" ht="37.5" customHeight="1">
      <c r="A74" s="232">
        <v>71</v>
      </c>
      <c r="B74" s="196">
        <v>41827</v>
      </c>
      <c r="C74" s="152" t="s">
        <v>642</v>
      </c>
      <c r="D74" s="154" t="s">
        <v>333</v>
      </c>
      <c r="E74" s="155">
        <v>4.13</v>
      </c>
      <c r="F74" s="151" t="s">
        <v>117</v>
      </c>
      <c r="G74" s="152" t="s">
        <v>171</v>
      </c>
      <c r="H74" s="307" t="s">
        <v>294</v>
      </c>
      <c r="I74" s="153" t="s">
        <v>336</v>
      </c>
      <c r="J74" s="385"/>
      <c r="K74" s="389"/>
      <c r="L74" s="341"/>
    </row>
    <row r="75" spans="1:12" s="188" customFormat="1" ht="37.5" customHeight="1">
      <c r="A75" s="232">
        <v>72</v>
      </c>
      <c r="B75" s="196">
        <v>41827</v>
      </c>
      <c r="C75" s="152" t="s">
        <v>637</v>
      </c>
      <c r="D75" s="154" t="s">
        <v>284</v>
      </c>
      <c r="E75" s="155">
        <f>E73*2</f>
        <v>196.18</v>
      </c>
      <c r="F75" s="151" t="s">
        <v>116</v>
      </c>
      <c r="G75" s="152" t="s">
        <v>44</v>
      </c>
      <c r="H75" s="307" t="s">
        <v>294</v>
      </c>
      <c r="I75" s="153" t="s">
        <v>336</v>
      </c>
      <c r="J75" s="385"/>
      <c r="K75" s="389"/>
      <c r="L75" s="341"/>
    </row>
    <row r="76" spans="1:12" s="188" customFormat="1" ht="37.5" customHeight="1">
      <c r="A76" s="232">
        <v>73</v>
      </c>
      <c r="B76" s="196">
        <v>41827</v>
      </c>
      <c r="C76" s="152" t="s">
        <v>638</v>
      </c>
      <c r="D76" s="154" t="s">
        <v>284</v>
      </c>
      <c r="E76" s="155">
        <f>E74*2</f>
        <v>8.26</v>
      </c>
      <c r="F76" s="151" t="s">
        <v>117</v>
      </c>
      <c r="G76" s="152" t="s">
        <v>171</v>
      </c>
      <c r="H76" s="307" t="s">
        <v>294</v>
      </c>
      <c r="I76" s="153" t="s">
        <v>336</v>
      </c>
      <c r="J76" s="385"/>
      <c r="K76" s="389"/>
      <c r="L76" s="341"/>
    </row>
    <row r="77" spans="1:12" s="188" customFormat="1" ht="37.5" customHeight="1">
      <c r="A77" s="232">
        <v>74</v>
      </c>
      <c r="B77" s="196">
        <v>41827</v>
      </c>
      <c r="C77" s="152" t="s">
        <v>639</v>
      </c>
      <c r="D77" s="154" t="s">
        <v>599</v>
      </c>
      <c r="E77" s="155">
        <v>0.76</v>
      </c>
      <c r="F77" s="151" t="s">
        <v>27</v>
      </c>
      <c r="G77" s="152" t="s">
        <v>331</v>
      </c>
      <c r="H77" s="307" t="s">
        <v>294</v>
      </c>
      <c r="I77" s="153" t="s">
        <v>336</v>
      </c>
      <c r="J77" s="385"/>
      <c r="K77" s="389"/>
      <c r="L77" s="341"/>
    </row>
    <row r="78" spans="1:12" s="188" customFormat="1" ht="37.5" customHeight="1">
      <c r="A78" s="232">
        <v>75</v>
      </c>
      <c r="B78" s="196">
        <v>41827</v>
      </c>
      <c r="C78" s="244" t="s">
        <v>640</v>
      </c>
      <c r="D78" s="228" t="s">
        <v>599</v>
      </c>
      <c r="E78" s="155">
        <v>0</v>
      </c>
      <c r="F78" s="151" t="s">
        <v>115</v>
      </c>
      <c r="G78" s="152" t="s">
        <v>0</v>
      </c>
      <c r="H78" s="307" t="s">
        <v>294</v>
      </c>
      <c r="I78" s="153" t="s">
        <v>336</v>
      </c>
      <c r="J78" s="385"/>
      <c r="K78" s="389"/>
      <c r="L78" s="341"/>
    </row>
    <row r="79" spans="1:12" s="188" customFormat="1" ht="37.5" customHeight="1">
      <c r="A79" s="232">
        <v>76</v>
      </c>
      <c r="B79" s="196">
        <v>41827</v>
      </c>
      <c r="C79" s="152" t="s">
        <v>641</v>
      </c>
      <c r="D79" s="154" t="s">
        <v>599</v>
      </c>
      <c r="E79" s="155">
        <v>43.64</v>
      </c>
      <c r="F79" s="151" t="s">
        <v>116</v>
      </c>
      <c r="G79" s="152" t="s">
        <v>44</v>
      </c>
      <c r="H79" s="307" t="s">
        <v>294</v>
      </c>
      <c r="I79" s="153" t="s">
        <v>336</v>
      </c>
      <c r="J79" s="385"/>
      <c r="K79" s="389"/>
      <c r="L79" s="341"/>
    </row>
    <row r="80" spans="1:12" s="188" customFormat="1" ht="37.5" customHeight="1">
      <c r="A80" s="232">
        <v>77</v>
      </c>
      <c r="B80" s="196">
        <v>41827</v>
      </c>
      <c r="C80" s="152" t="s">
        <v>642</v>
      </c>
      <c r="D80" s="154" t="s">
        <v>599</v>
      </c>
      <c r="E80" s="155">
        <v>12.38</v>
      </c>
      <c r="F80" s="151" t="s">
        <v>117</v>
      </c>
      <c r="G80" s="152" t="s">
        <v>171</v>
      </c>
      <c r="H80" s="307" t="s">
        <v>294</v>
      </c>
      <c r="I80" s="153" t="s">
        <v>336</v>
      </c>
      <c r="J80" s="385"/>
      <c r="K80" s="389"/>
      <c r="L80" s="341"/>
    </row>
    <row r="81" spans="1:12" s="188" customFormat="1" ht="37.5" customHeight="1">
      <c r="A81" s="232">
        <v>78</v>
      </c>
      <c r="B81" s="196">
        <v>41827</v>
      </c>
      <c r="C81" s="152" t="s">
        <v>643</v>
      </c>
      <c r="D81" s="154" t="s">
        <v>284</v>
      </c>
      <c r="E81" s="155">
        <f>E79*2</f>
        <v>87.28</v>
      </c>
      <c r="F81" s="151" t="s">
        <v>116</v>
      </c>
      <c r="G81" s="152" t="s">
        <v>44</v>
      </c>
      <c r="H81" s="307" t="s">
        <v>294</v>
      </c>
      <c r="I81" s="153" t="s">
        <v>336</v>
      </c>
      <c r="J81" s="385"/>
      <c r="K81" s="389"/>
      <c r="L81" s="341"/>
    </row>
    <row r="82" spans="1:12" s="188" customFormat="1" ht="37.5" customHeight="1">
      <c r="A82" s="232">
        <v>79</v>
      </c>
      <c r="B82" s="196">
        <v>41827</v>
      </c>
      <c r="C82" s="152" t="s">
        <v>644</v>
      </c>
      <c r="D82" s="154" t="s">
        <v>284</v>
      </c>
      <c r="E82" s="155">
        <f>E80*2</f>
        <v>24.76</v>
      </c>
      <c r="F82" s="151" t="s">
        <v>117</v>
      </c>
      <c r="G82" s="152" t="s">
        <v>171</v>
      </c>
      <c r="H82" s="307" t="s">
        <v>294</v>
      </c>
      <c r="I82" s="153" t="s">
        <v>336</v>
      </c>
      <c r="J82" s="385"/>
      <c r="K82" s="389"/>
      <c r="L82" s="341"/>
    </row>
    <row r="83" spans="1:12" s="188" customFormat="1" ht="37.5" customHeight="1">
      <c r="A83" s="232">
        <v>80</v>
      </c>
      <c r="B83" s="546">
        <v>41827</v>
      </c>
      <c r="C83" s="547" t="s">
        <v>746</v>
      </c>
      <c r="D83" s="548" t="s">
        <v>284</v>
      </c>
      <c r="E83" s="549">
        <v>75</v>
      </c>
      <c r="F83" s="653" t="s">
        <v>27</v>
      </c>
      <c r="G83" s="575" t="s">
        <v>331</v>
      </c>
      <c r="H83" s="551" t="s">
        <v>294</v>
      </c>
      <c r="I83" s="552" t="s">
        <v>751</v>
      </c>
      <c r="J83" s="553"/>
      <c r="K83" s="554"/>
      <c r="L83" s="341"/>
    </row>
    <row r="84" spans="1:12" s="188" customFormat="1" ht="37.5" customHeight="1">
      <c r="A84" s="232">
        <v>81</v>
      </c>
      <c r="B84" s="546">
        <v>41841</v>
      </c>
      <c r="C84" s="547" t="s">
        <v>747</v>
      </c>
      <c r="D84" s="548" t="s">
        <v>284</v>
      </c>
      <c r="E84" s="549">
        <v>500</v>
      </c>
      <c r="F84" s="653" t="s">
        <v>27</v>
      </c>
      <c r="G84" s="575" t="s">
        <v>331</v>
      </c>
      <c r="H84" s="551" t="s">
        <v>294</v>
      </c>
      <c r="I84" s="552" t="s">
        <v>751</v>
      </c>
      <c r="J84" s="553"/>
      <c r="K84" s="554"/>
      <c r="L84" s="341"/>
    </row>
    <row r="85" spans="1:12" s="188" customFormat="1" ht="37.5" customHeight="1">
      <c r="A85" s="232">
        <v>82</v>
      </c>
      <c r="B85" s="196">
        <v>41849</v>
      </c>
      <c r="C85" s="555" t="s">
        <v>517</v>
      </c>
      <c r="D85" s="392" t="s">
        <v>547</v>
      </c>
      <c r="E85" s="360">
        <v>60367.62</v>
      </c>
      <c r="F85" s="306" t="s">
        <v>38</v>
      </c>
      <c r="G85" s="307" t="s">
        <v>183</v>
      </c>
      <c r="H85" s="307" t="s">
        <v>294</v>
      </c>
      <c r="I85" s="153" t="s">
        <v>324</v>
      </c>
      <c r="J85" s="385"/>
      <c r="K85" s="386"/>
      <c r="L85" s="341"/>
    </row>
    <row r="86" spans="1:12" s="188" customFormat="1" ht="37.5" customHeight="1">
      <c r="A86" s="232">
        <v>83</v>
      </c>
      <c r="B86" s="546">
        <v>41862</v>
      </c>
      <c r="C86" s="556" t="s">
        <v>748</v>
      </c>
      <c r="D86" s="557" t="s">
        <v>750</v>
      </c>
      <c r="E86" s="549">
        <v>26000</v>
      </c>
      <c r="F86" s="550" t="s">
        <v>38</v>
      </c>
      <c r="G86" s="551" t="s">
        <v>183</v>
      </c>
      <c r="H86" s="551" t="s">
        <v>294</v>
      </c>
      <c r="I86" s="552" t="s">
        <v>751</v>
      </c>
      <c r="J86" s="553"/>
      <c r="K86" s="554"/>
      <c r="L86" s="341"/>
    </row>
    <row r="87" spans="1:12" s="188" customFormat="1" ht="37.5" customHeight="1">
      <c r="A87" s="232">
        <v>84</v>
      </c>
      <c r="B87" s="196">
        <v>41883</v>
      </c>
      <c r="C87" s="244" t="s">
        <v>649</v>
      </c>
      <c r="D87" s="228" t="s">
        <v>333</v>
      </c>
      <c r="E87" s="155">
        <v>0.03</v>
      </c>
      <c r="F87" s="151" t="s">
        <v>27</v>
      </c>
      <c r="G87" s="152" t="s">
        <v>331</v>
      </c>
      <c r="H87" s="307" t="s">
        <v>294</v>
      </c>
      <c r="I87" s="153" t="s">
        <v>336</v>
      </c>
      <c r="J87" s="385"/>
      <c r="K87" s="386"/>
      <c r="L87" s="341"/>
    </row>
    <row r="88" spans="1:12" s="188" customFormat="1" ht="37.5" customHeight="1">
      <c r="A88" s="232">
        <v>85</v>
      </c>
      <c r="B88" s="196">
        <v>41883</v>
      </c>
      <c r="C88" s="152" t="s">
        <v>650</v>
      </c>
      <c r="D88" s="154" t="s">
        <v>333</v>
      </c>
      <c r="E88" s="155">
        <f>212.85+12.71</f>
        <v>225.56</v>
      </c>
      <c r="F88" s="151" t="s">
        <v>115</v>
      </c>
      <c r="G88" s="152" t="s">
        <v>0</v>
      </c>
      <c r="H88" s="307" t="s">
        <v>294</v>
      </c>
      <c r="I88" s="153" t="s">
        <v>336</v>
      </c>
      <c r="J88" s="385"/>
      <c r="K88" s="386"/>
      <c r="L88" s="341"/>
    </row>
    <row r="89" spans="1:12" s="188" customFormat="1" ht="37.5" customHeight="1">
      <c r="A89" s="232">
        <v>86</v>
      </c>
      <c r="B89" s="196">
        <v>41883</v>
      </c>
      <c r="C89" s="152" t="s">
        <v>651</v>
      </c>
      <c r="D89" s="154" t="s">
        <v>333</v>
      </c>
      <c r="E89" s="155">
        <v>98.38</v>
      </c>
      <c r="F89" s="151" t="s">
        <v>116</v>
      </c>
      <c r="G89" s="152" t="s">
        <v>44</v>
      </c>
      <c r="H89" s="307" t="s">
        <v>294</v>
      </c>
      <c r="I89" s="153" t="s">
        <v>336</v>
      </c>
      <c r="J89" s="385"/>
      <c r="K89" s="386"/>
      <c r="L89" s="341"/>
    </row>
    <row r="90" spans="1:12" s="51" customFormat="1" ht="37.5" customHeight="1">
      <c r="A90" s="232">
        <v>87</v>
      </c>
      <c r="B90" s="196">
        <v>41883</v>
      </c>
      <c r="C90" s="152" t="s">
        <v>652</v>
      </c>
      <c r="D90" s="154" t="s">
        <v>333</v>
      </c>
      <c r="E90" s="155">
        <v>4.17</v>
      </c>
      <c r="F90" s="151" t="s">
        <v>117</v>
      </c>
      <c r="G90" s="152" t="s">
        <v>171</v>
      </c>
      <c r="H90" s="307" t="s">
        <v>294</v>
      </c>
      <c r="I90" s="153" t="s">
        <v>336</v>
      </c>
      <c r="J90" s="385"/>
      <c r="K90" s="386"/>
      <c r="L90" s="229"/>
    </row>
    <row r="91" spans="1:12" s="51" customFormat="1" ht="37.5" customHeight="1">
      <c r="A91" s="232">
        <v>88</v>
      </c>
      <c r="B91" s="196">
        <v>41883</v>
      </c>
      <c r="C91" s="152" t="s">
        <v>647</v>
      </c>
      <c r="D91" s="154" t="s">
        <v>284</v>
      </c>
      <c r="E91" s="155">
        <f>E89*2</f>
        <v>196.76</v>
      </c>
      <c r="F91" s="151" t="s">
        <v>116</v>
      </c>
      <c r="G91" s="152" t="s">
        <v>44</v>
      </c>
      <c r="H91" s="307" t="s">
        <v>294</v>
      </c>
      <c r="I91" s="153" t="s">
        <v>336</v>
      </c>
      <c r="J91" s="385"/>
      <c r="K91" s="386"/>
      <c r="L91" s="229"/>
    </row>
    <row r="92" spans="1:12" s="51" customFormat="1" ht="37.5" customHeight="1">
      <c r="A92" s="232">
        <v>89</v>
      </c>
      <c r="B92" s="196">
        <v>41883</v>
      </c>
      <c r="C92" s="152" t="s">
        <v>648</v>
      </c>
      <c r="D92" s="154" t="s">
        <v>284</v>
      </c>
      <c r="E92" s="155">
        <f>E90*2</f>
        <v>8.34</v>
      </c>
      <c r="F92" s="151" t="s">
        <v>117</v>
      </c>
      <c r="G92" s="152" t="s">
        <v>171</v>
      </c>
      <c r="H92" s="307" t="s">
        <v>294</v>
      </c>
      <c r="I92" s="153" t="s">
        <v>336</v>
      </c>
      <c r="J92" s="385"/>
      <c r="K92" s="386"/>
      <c r="L92" s="229"/>
    </row>
    <row r="93" spans="1:12" s="51" customFormat="1" ht="37.5" customHeight="1">
      <c r="A93" s="232">
        <v>90</v>
      </c>
      <c r="B93" s="196">
        <v>41883</v>
      </c>
      <c r="C93" s="152" t="s">
        <v>686</v>
      </c>
      <c r="D93" s="154" t="s">
        <v>451</v>
      </c>
      <c r="E93" s="155">
        <v>52</v>
      </c>
      <c r="F93" s="151" t="s">
        <v>115</v>
      </c>
      <c r="G93" s="152" t="s">
        <v>0</v>
      </c>
      <c r="H93" s="307" t="s">
        <v>294</v>
      </c>
      <c r="I93" s="153" t="s">
        <v>336</v>
      </c>
      <c r="J93" s="385"/>
      <c r="K93" s="386"/>
      <c r="L93" s="229"/>
    </row>
    <row r="94" spans="1:12" s="51" customFormat="1" ht="37.5" customHeight="1">
      <c r="A94" s="232">
        <v>91</v>
      </c>
      <c r="B94" s="196">
        <v>41887</v>
      </c>
      <c r="C94" s="152" t="s">
        <v>685</v>
      </c>
      <c r="D94" s="154" t="s">
        <v>453</v>
      </c>
      <c r="E94" s="155">
        <v>500</v>
      </c>
      <c r="F94" s="151" t="s">
        <v>115</v>
      </c>
      <c r="G94" s="152" t="s">
        <v>0</v>
      </c>
      <c r="H94" s="307" t="s">
        <v>294</v>
      </c>
      <c r="I94" s="153" t="s">
        <v>336</v>
      </c>
      <c r="J94" s="385"/>
      <c r="K94" s="386"/>
      <c r="L94" s="229"/>
    </row>
    <row r="95" spans="1:12" s="51" customFormat="1" ht="37.5" customHeight="1">
      <c r="A95" s="232">
        <v>92</v>
      </c>
      <c r="B95" s="196">
        <v>41893</v>
      </c>
      <c r="C95" s="352" t="s">
        <v>531</v>
      </c>
      <c r="D95" s="308" t="s">
        <v>548</v>
      </c>
      <c r="E95" s="360">
        <v>5000</v>
      </c>
      <c r="F95" s="306" t="s">
        <v>27</v>
      </c>
      <c r="G95" s="307" t="s">
        <v>331</v>
      </c>
      <c r="H95" s="307" t="s">
        <v>295</v>
      </c>
      <c r="I95" s="153" t="s">
        <v>335</v>
      </c>
      <c r="J95" s="385"/>
      <c r="K95" s="386"/>
      <c r="L95" s="229"/>
    </row>
    <row r="96" spans="1:12" s="51" customFormat="1" ht="37.5" customHeight="1">
      <c r="A96" s="232">
        <v>93</v>
      </c>
      <c r="B96" s="196">
        <v>41893</v>
      </c>
      <c r="C96" s="352" t="s">
        <v>531</v>
      </c>
      <c r="D96" s="308" t="s">
        <v>548</v>
      </c>
      <c r="E96" s="360">
        <v>7500</v>
      </c>
      <c r="F96" s="306" t="s">
        <v>27</v>
      </c>
      <c r="G96" s="307" t="s">
        <v>331</v>
      </c>
      <c r="H96" s="307" t="s">
        <v>294</v>
      </c>
      <c r="I96" s="153" t="s">
        <v>335</v>
      </c>
      <c r="J96" s="385"/>
      <c r="K96" s="386"/>
      <c r="L96" s="229"/>
    </row>
    <row r="97" spans="1:12" s="51" customFormat="1" ht="37.5" customHeight="1">
      <c r="A97" s="232">
        <v>94</v>
      </c>
      <c r="B97" s="196">
        <v>41894</v>
      </c>
      <c r="C97" s="309" t="s">
        <v>532</v>
      </c>
      <c r="D97" s="305" t="s">
        <v>549</v>
      </c>
      <c r="E97" s="342">
        <v>7500</v>
      </c>
      <c r="F97" s="306" t="s">
        <v>27</v>
      </c>
      <c r="G97" s="307" t="s">
        <v>331</v>
      </c>
      <c r="H97" s="307" t="s">
        <v>294</v>
      </c>
      <c r="I97" s="153" t="s">
        <v>366</v>
      </c>
      <c r="J97" s="385"/>
      <c r="K97" s="387"/>
      <c r="L97" s="229"/>
    </row>
    <row r="98" spans="1:12" s="51" customFormat="1" ht="37.5" customHeight="1">
      <c r="A98" s="232">
        <v>95</v>
      </c>
      <c r="B98" s="196">
        <v>41912</v>
      </c>
      <c r="C98" s="309" t="s">
        <v>386</v>
      </c>
      <c r="D98" s="305" t="s">
        <v>293</v>
      </c>
      <c r="E98" s="342">
        <v>1.06</v>
      </c>
      <c r="F98" s="306" t="s">
        <v>23</v>
      </c>
      <c r="G98" s="307" t="s">
        <v>97</v>
      </c>
      <c r="H98" s="307" t="s">
        <v>294</v>
      </c>
      <c r="I98" s="153" t="s">
        <v>366</v>
      </c>
      <c r="J98" s="385"/>
      <c r="K98" s="386"/>
      <c r="L98" s="229"/>
    </row>
    <row r="99" spans="1:12" s="51" customFormat="1" ht="37.5" customHeight="1">
      <c r="A99" s="232">
        <v>96</v>
      </c>
      <c r="B99" s="586">
        <v>41929</v>
      </c>
      <c r="C99" s="305" t="s">
        <v>984</v>
      </c>
      <c r="D99" s="305" t="s">
        <v>583</v>
      </c>
      <c r="E99" s="360">
        <v>10000</v>
      </c>
      <c r="F99" s="306" t="s">
        <v>21</v>
      </c>
      <c r="G99" s="307" t="s">
        <v>208</v>
      </c>
      <c r="H99" s="307" t="s">
        <v>294</v>
      </c>
      <c r="I99" s="153" t="s">
        <v>385</v>
      </c>
      <c r="L99" s="229"/>
    </row>
    <row r="100" spans="1:12" s="51" customFormat="1" ht="37.5" customHeight="1">
      <c r="A100" s="232">
        <v>97</v>
      </c>
      <c r="B100" s="586">
        <v>41929</v>
      </c>
      <c r="C100" s="305" t="s">
        <v>984</v>
      </c>
      <c r="D100" s="305" t="s">
        <v>583</v>
      </c>
      <c r="E100" s="360">
        <v>2200</v>
      </c>
      <c r="F100" s="306" t="s">
        <v>26</v>
      </c>
      <c r="G100" s="307" t="s">
        <v>100</v>
      </c>
      <c r="H100" s="307" t="s">
        <v>294</v>
      </c>
      <c r="I100" s="153" t="s">
        <v>384</v>
      </c>
      <c r="L100" s="229"/>
    </row>
    <row r="101" spans="1:12" s="188" customFormat="1" ht="37.5" customHeight="1">
      <c r="A101" s="232">
        <v>98</v>
      </c>
      <c r="B101" s="196">
        <v>41883</v>
      </c>
      <c r="C101" s="152" t="s">
        <v>1022</v>
      </c>
      <c r="D101" s="242" t="s">
        <v>388</v>
      </c>
      <c r="E101" s="155">
        <v>0.59</v>
      </c>
      <c r="F101" s="151" t="s">
        <v>27</v>
      </c>
      <c r="G101" s="152" t="s">
        <v>331</v>
      </c>
      <c r="H101" s="307" t="s">
        <v>294</v>
      </c>
      <c r="I101" s="153" t="s">
        <v>336</v>
      </c>
      <c r="J101" s="385"/>
      <c r="K101" s="386"/>
      <c r="L101" s="341"/>
    </row>
    <row r="102" spans="1:12" s="188" customFormat="1" ht="37.5" customHeight="1">
      <c r="A102" s="232">
        <v>99</v>
      </c>
      <c r="B102" s="196">
        <v>41883</v>
      </c>
      <c r="C102" s="152" t="s">
        <v>1001</v>
      </c>
      <c r="D102" s="242" t="s">
        <v>388</v>
      </c>
      <c r="E102" s="155">
        <v>887.89</v>
      </c>
      <c r="F102" s="151" t="s">
        <v>115</v>
      </c>
      <c r="G102" s="152" t="s">
        <v>0</v>
      </c>
      <c r="H102" s="307" t="s">
        <v>294</v>
      </c>
      <c r="I102" s="153" t="s">
        <v>336</v>
      </c>
      <c r="J102" s="385"/>
      <c r="K102" s="386"/>
      <c r="L102" s="341"/>
    </row>
    <row r="103" spans="1:12" s="188" customFormat="1" ht="37.5" customHeight="1">
      <c r="A103" s="232">
        <v>100</v>
      </c>
      <c r="B103" s="196">
        <v>41883</v>
      </c>
      <c r="C103" s="152" t="s">
        <v>1002</v>
      </c>
      <c r="D103" s="242" t="s">
        <v>388</v>
      </c>
      <c r="E103" s="155">
        <v>380.41</v>
      </c>
      <c r="F103" s="151" t="s">
        <v>116</v>
      </c>
      <c r="G103" s="152" t="s">
        <v>44</v>
      </c>
      <c r="H103" s="307" t="s">
        <v>294</v>
      </c>
      <c r="I103" s="153" t="s">
        <v>336</v>
      </c>
      <c r="J103" s="385"/>
      <c r="K103" s="386"/>
      <c r="L103" s="341"/>
    </row>
    <row r="104" spans="1:12" s="188" customFormat="1" ht="37.5" customHeight="1">
      <c r="A104" s="232">
        <v>101</v>
      </c>
      <c r="B104" s="196">
        <v>41883</v>
      </c>
      <c r="C104" s="152" t="s">
        <v>1003</v>
      </c>
      <c r="D104" s="242" t="s">
        <v>388</v>
      </c>
      <c r="E104" s="155">
        <v>6.16</v>
      </c>
      <c r="F104" s="151" t="s">
        <v>117</v>
      </c>
      <c r="G104" s="152" t="s">
        <v>171</v>
      </c>
      <c r="H104" s="307" t="s">
        <v>294</v>
      </c>
      <c r="I104" s="153" t="s">
        <v>336</v>
      </c>
      <c r="J104" s="385"/>
      <c r="K104" s="386"/>
      <c r="L104" s="341"/>
    </row>
    <row r="105" spans="1:12" s="188" customFormat="1" ht="37.5" customHeight="1">
      <c r="A105" s="232">
        <v>102</v>
      </c>
      <c r="B105" s="196">
        <v>41883</v>
      </c>
      <c r="C105" s="152" t="s">
        <v>1004</v>
      </c>
      <c r="D105" s="154" t="s">
        <v>284</v>
      </c>
      <c r="E105" s="155">
        <v>760.82</v>
      </c>
      <c r="F105" s="151" t="s">
        <v>116</v>
      </c>
      <c r="G105" s="152" t="s">
        <v>44</v>
      </c>
      <c r="H105" s="307" t="s">
        <v>294</v>
      </c>
      <c r="I105" s="153" t="s">
        <v>336</v>
      </c>
      <c r="J105" s="385"/>
      <c r="K105" s="386"/>
      <c r="L105" s="341"/>
    </row>
    <row r="106" spans="1:12" s="188" customFormat="1" ht="37.5" customHeight="1">
      <c r="A106" s="232">
        <v>103</v>
      </c>
      <c r="B106" s="196">
        <v>41883</v>
      </c>
      <c r="C106" s="152" t="s">
        <v>1005</v>
      </c>
      <c r="D106" s="154" t="s">
        <v>284</v>
      </c>
      <c r="E106" s="155">
        <v>12.32</v>
      </c>
      <c r="F106" s="151" t="s">
        <v>117</v>
      </c>
      <c r="G106" s="152" t="s">
        <v>171</v>
      </c>
      <c r="H106" s="307" t="s">
        <v>294</v>
      </c>
      <c r="I106" s="153" t="s">
        <v>336</v>
      </c>
      <c r="J106" s="385"/>
      <c r="K106" s="386"/>
      <c r="L106" s="341"/>
    </row>
    <row r="107" spans="1:12" s="51" customFormat="1" ht="37.5" customHeight="1">
      <c r="A107" s="232">
        <v>104</v>
      </c>
      <c r="B107" s="196">
        <v>41949</v>
      </c>
      <c r="C107" s="309" t="s">
        <v>975</v>
      </c>
      <c r="D107" s="305" t="s">
        <v>583</v>
      </c>
      <c r="E107" s="342">
        <v>10000</v>
      </c>
      <c r="F107" s="306" t="s">
        <v>21</v>
      </c>
      <c r="G107" s="307" t="s">
        <v>208</v>
      </c>
      <c r="H107" s="307" t="s">
        <v>294</v>
      </c>
      <c r="I107" s="153" t="s">
        <v>385</v>
      </c>
      <c r="J107" s="385"/>
      <c r="K107" s="386"/>
      <c r="L107" s="229"/>
    </row>
    <row r="108" spans="1:12" s="51" customFormat="1" ht="37.5" customHeight="1">
      <c r="A108" s="232">
        <v>105</v>
      </c>
      <c r="B108" s="196">
        <v>41949</v>
      </c>
      <c r="C108" s="309" t="s">
        <v>975</v>
      </c>
      <c r="D108" s="305" t="s">
        <v>583</v>
      </c>
      <c r="E108" s="342">
        <v>2200</v>
      </c>
      <c r="F108" s="306" t="s">
        <v>26</v>
      </c>
      <c r="G108" s="307" t="s">
        <v>100</v>
      </c>
      <c r="H108" s="307" t="s">
        <v>294</v>
      </c>
      <c r="I108" s="153" t="s">
        <v>384</v>
      </c>
      <c r="J108" s="385"/>
      <c r="K108" s="386"/>
      <c r="L108" s="229"/>
    </row>
    <row r="109" spans="1:12" s="51" customFormat="1" ht="37.5" customHeight="1">
      <c r="A109" s="232">
        <v>106</v>
      </c>
      <c r="B109" s="196">
        <v>41953</v>
      </c>
      <c r="C109" s="309" t="s">
        <v>974</v>
      </c>
      <c r="D109" s="305" t="s">
        <v>594</v>
      </c>
      <c r="E109" s="342">
        <v>20000</v>
      </c>
      <c r="F109" s="306" t="s">
        <v>21</v>
      </c>
      <c r="G109" s="307" t="s">
        <v>208</v>
      </c>
      <c r="H109" s="307" t="s">
        <v>294</v>
      </c>
      <c r="I109" s="153" t="s">
        <v>594</v>
      </c>
      <c r="J109" s="385"/>
      <c r="K109" s="386"/>
      <c r="L109" s="229"/>
    </row>
    <row r="110" spans="1:12" s="51" customFormat="1" ht="37.5" customHeight="1">
      <c r="A110" s="232">
        <v>107</v>
      </c>
      <c r="B110" s="196">
        <v>41953</v>
      </c>
      <c r="C110" s="309" t="s">
        <v>974</v>
      </c>
      <c r="D110" s="305" t="s">
        <v>594</v>
      </c>
      <c r="E110" s="342">
        <v>4400</v>
      </c>
      <c r="F110" s="306" t="s">
        <v>26</v>
      </c>
      <c r="G110" s="307" t="s">
        <v>100</v>
      </c>
      <c r="H110" s="307" t="s">
        <v>294</v>
      </c>
      <c r="I110" s="153" t="s">
        <v>384</v>
      </c>
      <c r="J110" s="385"/>
      <c r="K110" s="386"/>
      <c r="L110" s="229"/>
    </row>
    <row r="111" spans="1:13" s="188" customFormat="1" ht="37.5" customHeight="1">
      <c r="A111" s="232">
        <v>108</v>
      </c>
      <c r="B111" s="559">
        <v>41953</v>
      </c>
      <c r="C111" s="241" t="s">
        <v>944</v>
      </c>
      <c r="D111" s="403" t="s">
        <v>990</v>
      </c>
      <c r="E111" s="155">
        <v>80</v>
      </c>
      <c r="F111" s="151" t="s">
        <v>115</v>
      </c>
      <c r="G111" s="152" t="s">
        <v>0</v>
      </c>
      <c r="H111" s="307" t="s">
        <v>294</v>
      </c>
      <c r="I111" s="153" t="s">
        <v>336</v>
      </c>
      <c r="J111" s="561"/>
      <c r="K111" s="245"/>
      <c r="L111" s="240"/>
      <c r="M111" s="197"/>
    </row>
    <row r="112" spans="1:12" s="51" customFormat="1" ht="37.5" customHeight="1">
      <c r="A112" s="232">
        <v>109</v>
      </c>
      <c r="B112" s="196">
        <v>41957</v>
      </c>
      <c r="C112" s="309" t="s">
        <v>976</v>
      </c>
      <c r="D112" s="305" t="s">
        <v>591</v>
      </c>
      <c r="E112" s="342">
        <v>6000</v>
      </c>
      <c r="F112" s="306" t="s">
        <v>21</v>
      </c>
      <c r="G112" s="307" t="s">
        <v>208</v>
      </c>
      <c r="H112" s="307" t="s">
        <v>294</v>
      </c>
      <c r="I112" s="153" t="s">
        <v>591</v>
      </c>
      <c r="J112" s="385"/>
      <c r="K112" s="386"/>
      <c r="L112" s="229"/>
    </row>
    <row r="113" spans="1:12" s="51" customFormat="1" ht="37.5" customHeight="1">
      <c r="A113" s="232">
        <v>110</v>
      </c>
      <c r="B113" s="196">
        <v>41957</v>
      </c>
      <c r="C113" s="309" t="s">
        <v>976</v>
      </c>
      <c r="D113" s="305" t="s">
        <v>591</v>
      </c>
      <c r="E113" s="342">
        <v>1320</v>
      </c>
      <c r="F113" s="306" t="s">
        <v>26</v>
      </c>
      <c r="G113" s="307" t="s">
        <v>100</v>
      </c>
      <c r="H113" s="307" t="s">
        <v>294</v>
      </c>
      <c r="I113" s="153" t="s">
        <v>384</v>
      </c>
      <c r="J113" s="385"/>
      <c r="K113" s="386"/>
      <c r="L113" s="229"/>
    </row>
    <row r="114" spans="1:13" s="188" customFormat="1" ht="37.5" customHeight="1">
      <c r="A114" s="232">
        <v>111</v>
      </c>
      <c r="B114" s="196">
        <v>41974</v>
      </c>
      <c r="C114" s="241" t="s">
        <v>950</v>
      </c>
      <c r="D114" s="403" t="s">
        <v>991</v>
      </c>
      <c r="E114" s="243">
        <v>240</v>
      </c>
      <c r="F114" s="151" t="s">
        <v>115</v>
      </c>
      <c r="G114" s="152" t="s">
        <v>0</v>
      </c>
      <c r="H114" s="307" t="s">
        <v>294</v>
      </c>
      <c r="I114" s="153" t="s">
        <v>336</v>
      </c>
      <c r="J114" s="249"/>
      <c r="K114" s="245"/>
      <c r="L114" s="240"/>
      <c r="M114" s="197"/>
    </row>
    <row r="115" spans="1:12" s="51" customFormat="1" ht="37.5" customHeight="1">
      <c r="A115" s="232">
        <v>112</v>
      </c>
      <c r="B115" s="196">
        <v>41988</v>
      </c>
      <c r="C115" s="309" t="s">
        <v>953</v>
      </c>
      <c r="D115" s="305" t="s">
        <v>547</v>
      </c>
      <c r="E115" s="342">
        <v>7897.5</v>
      </c>
      <c r="F115" s="306" t="s">
        <v>38</v>
      </c>
      <c r="G115" s="307" t="s">
        <v>183</v>
      </c>
      <c r="H115" s="307" t="s">
        <v>294</v>
      </c>
      <c r="I115" s="153" t="s">
        <v>978</v>
      </c>
      <c r="J115" s="385"/>
      <c r="K115" s="386"/>
      <c r="L115" s="229"/>
    </row>
    <row r="116" spans="1:12" s="51" customFormat="1" ht="37.5" customHeight="1">
      <c r="A116" s="232">
        <v>113</v>
      </c>
      <c r="B116" s="196">
        <v>41989</v>
      </c>
      <c r="C116" s="309" t="s">
        <v>956</v>
      </c>
      <c r="D116" s="305" t="s">
        <v>388</v>
      </c>
      <c r="E116" s="342">
        <v>3588</v>
      </c>
      <c r="F116" s="306" t="s">
        <v>27</v>
      </c>
      <c r="G116" s="307" t="s">
        <v>331</v>
      </c>
      <c r="H116" s="307" t="s">
        <v>294</v>
      </c>
      <c r="I116" s="153" t="s">
        <v>366</v>
      </c>
      <c r="J116" s="385"/>
      <c r="K116" s="386"/>
      <c r="L116" s="229"/>
    </row>
    <row r="117" spans="1:12" s="51" customFormat="1" ht="37.5" customHeight="1">
      <c r="A117" s="232">
        <v>114</v>
      </c>
      <c r="B117" s="196">
        <v>41995</v>
      </c>
      <c r="C117" s="309" t="s">
        <v>977</v>
      </c>
      <c r="D117" s="305" t="s">
        <v>594</v>
      </c>
      <c r="E117" s="342">
        <v>8000</v>
      </c>
      <c r="F117" s="306" t="s">
        <v>21</v>
      </c>
      <c r="G117" s="307" t="s">
        <v>208</v>
      </c>
      <c r="H117" s="307" t="s">
        <v>294</v>
      </c>
      <c r="I117" s="153" t="s">
        <v>594</v>
      </c>
      <c r="J117" s="385"/>
      <c r="K117" s="386"/>
      <c r="L117" s="229"/>
    </row>
    <row r="118" spans="1:12" s="51" customFormat="1" ht="37.5" customHeight="1">
      <c r="A118" s="232">
        <v>115</v>
      </c>
      <c r="B118" s="196">
        <v>41995</v>
      </c>
      <c r="C118" s="309" t="s">
        <v>977</v>
      </c>
      <c r="D118" s="305" t="s">
        <v>594</v>
      </c>
      <c r="E118" s="342">
        <v>1760</v>
      </c>
      <c r="F118" s="306" t="s">
        <v>26</v>
      </c>
      <c r="G118" s="307" t="s">
        <v>100</v>
      </c>
      <c r="H118" s="307" t="s">
        <v>294</v>
      </c>
      <c r="I118" s="153" t="s">
        <v>384</v>
      </c>
      <c r="J118" s="385"/>
      <c r="K118" s="386"/>
      <c r="L118" s="229"/>
    </row>
    <row r="119" spans="1:12" s="188" customFormat="1" ht="37.5" customHeight="1">
      <c r="A119" s="232">
        <v>116</v>
      </c>
      <c r="B119" s="196">
        <v>42002</v>
      </c>
      <c r="C119" s="152" t="s">
        <v>1012</v>
      </c>
      <c r="D119" s="154" t="s">
        <v>599</v>
      </c>
      <c r="E119" s="155">
        <v>0.97</v>
      </c>
      <c r="F119" s="151" t="s">
        <v>27</v>
      </c>
      <c r="G119" s="152" t="s">
        <v>331</v>
      </c>
      <c r="H119" s="307" t="s">
        <v>294</v>
      </c>
      <c r="I119" s="153" t="s">
        <v>336</v>
      </c>
      <c r="J119" s="385"/>
      <c r="K119" s="389"/>
      <c r="L119" s="341"/>
    </row>
    <row r="120" spans="1:12" s="188" customFormat="1" ht="37.5" customHeight="1">
      <c r="A120" s="232">
        <v>117</v>
      </c>
      <c r="B120" s="196">
        <v>42002</v>
      </c>
      <c r="C120" s="152" t="s">
        <v>1013</v>
      </c>
      <c r="D120" s="228" t="s">
        <v>599</v>
      </c>
      <c r="E120" s="155">
        <v>0</v>
      </c>
      <c r="F120" s="151" t="s">
        <v>115</v>
      </c>
      <c r="G120" s="152" t="s">
        <v>0</v>
      </c>
      <c r="H120" s="307" t="s">
        <v>294</v>
      </c>
      <c r="I120" s="153" t="s">
        <v>336</v>
      </c>
      <c r="J120" s="385"/>
      <c r="K120" s="389"/>
      <c r="L120" s="341"/>
    </row>
    <row r="121" spans="1:12" s="188" customFormat="1" ht="37.5" customHeight="1">
      <c r="A121" s="232">
        <v>118</v>
      </c>
      <c r="B121" s="196">
        <v>42002</v>
      </c>
      <c r="C121" s="152" t="s">
        <v>1014</v>
      </c>
      <c r="D121" s="154" t="s">
        <v>599</v>
      </c>
      <c r="E121" s="155">
        <v>10.72</v>
      </c>
      <c r="F121" s="151" t="s">
        <v>116</v>
      </c>
      <c r="G121" s="152" t="s">
        <v>44</v>
      </c>
      <c r="H121" s="307" t="s">
        <v>294</v>
      </c>
      <c r="I121" s="153" t="s">
        <v>336</v>
      </c>
      <c r="J121" s="385"/>
      <c r="K121" s="389"/>
      <c r="L121" s="341"/>
    </row>
    <row r="122" spans="1:12" s="188" customFormat="1" ht="37.5" customHeight="1">
      <c r="A122" s="232">
        <v>119</v>
      </c>
      <c r="B122" s="196">
        <v>42002</v>
      </c>
      <c r="C122" s="152" t="s">
        <v>1015</v>
      </c>
      <c r="D122" s="154" t="s">
        <v>599</v>
      </c>
      <c r="E122" s="155">
        <v>0.06</v>
      </c>
      <c r="F122" s="151" t="s">
        <v>117</v>
      </c>
      <c r="G122" s="152" t="s">
        <v>171</v>
      </c>
      <c r="H122" s="307" t="s">
        <v>294</v>
      </c>
      <c r="I122" s="153" t="s">
        <v>336</v>
      </c>
      <c r="J122" s="385"/>
      <c r="K122" s="389"/>
      <c r="L122" s="341"/>
    </row>
    <row r="123" spans="1:12" s="188" customFormat="1" ht="37.5" customHeight="1">
      <c r="A123" s="232">
        <v>120</v>
      </c>
      <c r="B123" s="196">
        <v>42002</v>
      </c>
      <c r="C123" s="152" t="s">
        <v>1010</v>
      </c>
      <c r="D123" s="154" t="s">
        <v>284</v>
      </c>
      <c r="E123" s="155">
        <v>21.44</v>
      </c>
      <c r="F123" s="151" t="s">
        <v>116</v>
      </c>
      <c r="G123" s="152" t="s">
        <v>44</v>
      </c>
      <c r="H123" s="307" t="s">
        <v>294</v>
      </c>
      <c r="I123" s="153" t="s">
        <v>336</v>
      </c>
      <c r="J123" s="385"/>
      <c r="K123" s="389"/>
      <c r="L123" s="341"/>
    </row>
    <row r="124" spans="1:12" s="188" customFormat="1" ht="37.5" customHeight="1">
      <c r="A124" s="232">
        <v>121</v>
      </c>
      <c r="B124" s="196">
        <v>42002</v>
      </c>
      <c r="C124" s="244" t="s">
        <v>1011</v>
      </c>
      <c r="D124" s="154" t="s">
        <v>284</v>
      </c>
      <c r="E124" s="155">
        <v>0.12</v>
      </c>
      <c r="F124" s="151" t="s">
        <v>117</v>
      </c>
      <c r="G124" s="152" t="s">
        <v>171</v>
      </c>
      <c r="H124" s="307" t="s">
        <v>294</v>
      </c>
      <c r="I124" s="153" t="s">
        <v>336</v>
      </c>
      <c r="J124" s="385"/>
      <c r="K124" s="389"/>
      <c r="L124" s="341"/>
    </row>
    <row r="125" spans="1:12" s="188" customFormat="1" ht="37.5" customHeight="1">
      <c r="A125" s="232">
        <v>122</v>
      </c>
      <c r="B125" s="196">
        <v>42002</v>
      </c>
      <c r="C125" s="152" t="s">
        <v>1012</v>
      </c>
      <c r="D125" s="403" t="s">
        <v>333</v>
      </c>
      <c r="E125" s="155">
        <v>0.33</v>
      </c>
      <c r="F125" s="151" t="s">
        <v>27</v>
      </c>
      <c r="G125" s="152" t="s">
        <v>331</v>
      </c>
      <c r="H125" s="307" t="s">
        <v>294</v>
      </c>
      <c r="I125" s="153" t="s">
        <v>336</v>
      </c>
      <c r="J125" s="385"/>
      <c r="K125" s="386"/>
      <c r="L125" s="341"/>
    </row>
    <row r="126" spans="1:12" s="188" customFormat="1" ht="37.5" customHeight="1">
      <c r="A126" s="232">
        <v>123</v>
      </c>
      <c r="B126" s="196">
        <v>42002</v>
      </c>
      <c r="C126" s="152" t="s">
        <v>1013</v>
      </c>
      <c r="D126" s="403" t="s">
        <v>333</v>
      </c>
      <c r="E126" s="155">
        <v>957.76</v>
      </c>
      <c r="F126" s="151" t="s">
        <v>115</v>
      </c>
      <c r="G126" s="152" t="s">
        <v>0</v>
      </c>
      <c r="H126" s="307" t="s">
        <v>294</v>
      </c>
      <c r="I126" s="153" t="s">
        <v>336</v>
      </c>
      <c r="J126" s="385"/>
      <c r="K126" s="386"/>
      <c r="L126" s="341"/>
    </row>
    <row r="127" spans="1:12" s="188" customFormat="1" ht="37.5" customHeight="1">
      <c r="A127" s="232">
        <v>124</v>
      </c>
      <c r="B127" s="196">
        <v>42002</v>
      </c>
      <c r="C127" s="152" t="s">
        <v>1014</v>
      </c>
      <c r="D127" s="403" t="s">
        <v>333</v>
      </c>
      <c r="E127" s="155">
        <v>408.45</v>
      </c>
      <c r="F127" s="151" t="s">
        <v>116</v>
      </c>
      <c r="G127" s="152" t="s">
        <v>44</v>
      </c>
      <c r="H127" s="307" t="s">
        <v>294</v>
      </c>
      <c r="I127" s="153" t="s">
        <v>336</v>
      </c>
      <c r="J127" s="385"/>
      <c r="K127" s="386"/>
      <c r="L127" s="341"/>
    </row>
    <row r="128" spans="1:12" s="188" customFormat="1" ht="37.5" customHeight="1">
      <c r="A128" s="232">
        <v>125</v>
      </c>
      <c r="B128" s="196">
        <v>42002</v>
      </c>
      <c r="C128" s="152" t="s">
        <v>1019</v>
      </c>
      <c r="D128" s="403" t="s">
        <v>333</v>
      </c>
      <c r="E128" s="155">
        <v>2.17</v>
      </c>
      <c r="F128" s="151" t="s">
        <v>117</v>
      </c>
      <c r="G128" s="152" t="s">
        <v>171</v>
      </c>
      <c r="H128" s="307" t="s">
        <v>294</v>
      </c>
      <c r="I128" s="153" t="s">
        <v>336</v>
      </c>
      <c r="J128" s="385"/>
      <c r="K128" s="386"/>
      <c r="L128" s="341"/>
    </row>
    <row r="129" spans="1:12" s="188" customFormat="1" ht="37.5" customHeight="1">
      <c r="A129" s="232">
        <v>126</v>
      </c>
      <c r="B129" s="196">
        <v>42002</v>
      </c>
      <c r="C129" s="152" t="s">
        <v>1020</v>
      </c>
      <c r="D129" s="308" t="s">
        <v>284</v>
      </c>
      <c r="E129" s="155">
        <v>816.9</v>
      </c>
      <c r="F129" s="151" t="s">
        <v>116</v>
      </c>
      <c r="G129" s="152" t="s">
        <v>44</v>
      </c>
      <c r="H129" s="307" t="s">
        <v>294</v>
      </c>
      <c r="I129" s="153" t="s">
        <v>336</v>
      </c>
      <c r="J129" s="385"/>
      <c r="K129" s="386"/>
      <c r="L129" s="341"/>
    </row>
    <row r="130" spans="1:12" s="188" customFormat="1" ht="37.5" customHeight="1">
      <c r="A130" s="232">
        <v>127</v>
      </c>
      <c r="B130" s="196">
        <v>42002</v>
      </c>
      <c r="C130" s="244" t="s">
        <v>1021</v>
      </c>
      <c r="D130" s="308" t="s">
        <v>284</v>
      </c>
      <c r="E130" s="155">
        <v>4.34</v>
      </c>
      <c r="F130" s="151" t="s">
        <v>117</v>
      </c>
      <c r="G130" s="152" t="s">
        <v>171</v>
      </c>
      <c r="H130" s="307" t="s">
        <v>294</v>
      </c>
      <c r="I130" s="153" t="s">
        <v>336</v>
      </c>
      <c r="J130" s="385"/>
      <c r="K130" s="386"/>
      <c r="L130" s="341"/>
    </row>
    <row r="131" spans="1:11" s="147" customFormat="1" ht="37.5" customHeight="1">
      <c r="A131" s="232">
        <v>128</v>
      </c>
      <c r="B131" s="196">
        <v>42004</v>
      </c>
      <c r="C131" s="352" t="s">
        <v>386</v>
      </c>
      <c r="D131" s="308" t="s">
        <v>293</v>
      </c>
      <c r="E131" s="360">
        <v>0.98</v>
      </c>
      <c r="F131" s="306" t="s">
        <v>23</v>
      </c>
      <c r="G131" s="307" t="s">
        <v>97</v>
      </c>
      <c r="H131" s="307" t="s">
        <v>294</v>
      </c>
      <c r="I131" s="153" t="s">
        <v>366</v>
      </c>
      <c r="J131" s="385"/>
      <c r="K131" s="386"/>
    </row>
    <row r="132" spans="1:12" s="51" customFormat="1" ht="37.5" customHeight="1">
      <c r="A132" s="232">
        <v>129</v>
      </c>
      <c r="B132" s="546">
        <v>41996</v>
      </c>
      <c r="C132" s="547" t="s">
        <v>982</v>
      </c>
      <c r="D132" s="548" t="s">
        <v>547</v>
      </c>
      <c r="E132" s="549">
        <v>3154.75</v>
      </c>
      <c r="F132" s="550" t="s">
        <v>38</v>
      </c>
      <c r="G132" s="551" t="s">
        <v>183</v>
      </c>
      <c r="H132" s="551" t="s">
        <v>294</v>
      </c>
      <c r="I132" s="552" t="s">
        <v>751</v>
      </c>
      <c r="J132" s="553"/>
      <c r="K132" s="554"/>
      <c r="L132" s="229"/>
    </row>
    <row r="134" ht="37.5" customHeight="1">
      <c r="E134" s="585">
        <f>SUM(E2:E132)</f>
        <v>314397.65</v>
      </c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2"/>
  <sheetViews>
    <sheetView zoomScale="95" zoomScaleNormal="95" workbookViewId="0" topLeftCell="A59">
      <selection activeCell="E62" sqref="E62"/>
    </sheetView>
  </sheetViews>
  <sheetFormatPr defaultColWidth="9.140625" defaultRowHeight="12.75" outlineLevelRow="2"/>
  <cols>
    <col min="2" max="2" width="15.421875" style="0" bestFit="1" customWidth="1"/>
    <col min="3" max="3" width="40.7109375" style="0" customWidth="1"/>
    <col min="4" max="4" width="26.421875" style="0" bestFit="1" customWidth="1"/>
    <col min="5" max="5" width="15.7109375" style="0" bestFit="1" customWidth="1"/>
    <col min="6" max="6" width="14.57421875" style="0" customWidth="1"/>
    <col min="7" max="7" width="43.00390625" style="0" bestFit="1" customWidth="1"/>
    <col min="8" max="8" width="9.140625" style="51" customWidth="1"/>
    <col min="9" max="9" width="25.421875" style="51" customWidth="1"/>
  </cols>
  <sheetData>
    <row r="1" spans="1:9" ht="12.75" customHeight="1">
      <c r="A1" s="673" t="s">
        <v>343</v>
      </c>
      <c r="B1" s="673"/>
      <c r="C1" s="673"/>
      <c r="D1" s="673"/>
      <c r="E1" s="673"/>
      <c r="F1" s="673"/>
      <c r="G1" s="673"/>
      <c r="H1" s="673"/>
      <c r="I1" s="673"/>
    </row>
    <row r="2" spans="1:9" ht="13.5" thickBot="1">
      <c r="A2" s="145"/>
      <c r="B2" s="146"/>
      <c r="C2" s="146"/>
      <c r="D2" s="146"/>
      <c r="E2" s="146"/>
      <c r="F2" s="146"/>
      <c r="G2" s="146"/>
      <c r="H2" s="146"/>
      <c r="I2" s="273"/>
    </row>
    <row r="3" spans="1:9" ht="36.75" thickTop="1">
      <c r="A3" s="148" t="s">
        <v>280</v>
      </c>
      <c r="B3" s="149" t="s">
        <v>281</v>
      </c>
      <c r="C3" s="149" t="s">
        <v>214</v>
      </c>
      <c r="D3" s="149" t="s">
        <v>227</v>
      </c>
      <c r="E3" s="149" t="s">
        <v>211</v>
      </c>
      <c r="F3" s="149" t="s">
        <v>212</v>
      </c>
      <c r="G3" s="149" t="s">
        <v>213</v>
      </c>
      <c r="H3" s="235" t="s">
        <v>282</v>
      </c>
      <c r="I3" s="234" t="s">
        <v>289</v>
      </c>
    </row>
    <row r="4" spans="1:10" s="188" customFormat="1" ht="37.5" customHeight="1" outlineLevel="2">
      <c r="A4" s="232">
        <v>29</v>
      </c>
      <c r="B4" s="196">
        <v>41705</v>
      </c>
      <c r="C4" s="312" t="s">
        <v>584</v>
      </c>
      <c r="D4" s="305" t="s">
        <v>361</v>
      </c>
      <c r="E4" s="342">
        <v>11739.25</v>
      </c>
      <c r="F4" s="393" t="s">
        <v>21</v>
      </c>
      <c r="G4" s="307" t="s">
        <v>208</v>
      </c>
      <c r="H4" s="307" t="s">
        <v>294</v>
      </c>
      <c r="I4" s="153" t="s">
        <v>362</v>
      </c>
      <c r="J4" s="341"/>
    </row>
    <row r="5" spans="1:10" s="188" customFormat="1" ht="37.5" customHeight="1" outlineLevel="2">
      <c r="A5" s="232">
        <v>39</v>
      </c>
      <c r="B5" s="196">
        <v>41717</v>
      </c>
      <c r="C5" s="312" t="s">
        <v>581</v>
      </c>
      <c r="D5" s="305" t="s">
        <v>355</v>
      </c>
      <c r="E5" s="351">
        <v>9066.2</v>
      </c>
      <c r="F5" s="393" t="s">
        <v>21</v>
      </c>
      <c r="G5" s="307" t="s">
        <v>208</v>
      </c>
      <c r="H5" s="307" t="s">
        <v>294</v>
      </c>
      <c r="I5" s="153" t="s">
        <v>360</v>
      </c>
      <c r="J5" s="341"/>
    </row>
    <row r="6" spans="1:10" s="188" customFormat="1" ht="37.5" customHeight="1" outlineLevel="2">
      <c r="A6" s="232">
        <v>50</v>
      </c>
      <c r="B6" s="196">
        <v>41743</v>
      </c>
      <c r="C6" s="314" t="s">
        <v>582</v>
      </c>
      <c r="D6" s="314" t="s">
        <v>583</v>
      </c>
      <c r="E6" s="351">
        <v>8071.7</v>
      </c>
      <c r="F6" s="393" t="s">
        <v>21</v>
      </c>
      <c r="G6" s="307" t="s">
        <v>208</v>
      </c>
      <c r="H6" s="307" t="s">
        <v>294</v>
      </c>
      <c r="I6" s="153" t="s">
        <v>359</v>
      </c>
      <c r="J6" s="341"/>
    </row>
    <row r="7" spans="1:10" s="188" customFormat="1" ht="37.5" customHeight="1" outlineLevel="2">
      <c r="A7" s="232">
        <v>52</v>
      </c>
      <c r="B7" s="196">
        <v>41754</v>
      </c>
      <c r="C7" s="314" t="s">
        <v>586</v>
      </c>
      <c r="D7" s="314" t="s">
        <v>587</v>
      </c>
      <c r="E7" s="351">
        <v>1500</v>
      </c>
      <c r="F7" s="393" t="s">
        <v>21</v>
      </c>
      <c r="G7" s="307" t="s">
        <v>208</v>
      </c>
      <c r="H7" s="307" t="s">
        <v>294</v>
      </c>
      <c r="I7" s="153" t="s">
        <v>357</v>
      </c>
      <c r="J7" s="341"/>
    </row>
    <row r="8" spans="1:10" s="188" customFormat="1" ht="37.5" customHeight="1" outlineLevel="2">
      <c r="A8" s="232">
        <v>65</v>
      </c>
      <c r="B8" s="196">
        <v>41820</v>
      </c>
      <c r="C8" s="314" t="s">
        <v>588</v>
      </c>
      <c r="D8" s="314" t="s">
        <v>587</v>
      </c>
      <c r="E8" s="351">
        <v>443.7</v>
      </c>
      <c r="F8" s="393" t="s">
        <v>21</v>
      </c>
      <c r="G8" s="307" t="s">
        <v>208</v>
      </c>
      <c r="H8" s="307" t="s">
        <v>294</v>
      </c>
      <c r="I8" s="153" t="s">
        <v>357</v>
      </c>
      <c r="J8" s="341"/>
    </row>
    <row r="9" spans="1:10" s="188" customFormat="1" ht="37.5" customHeight="1" outlineLevel="2">
      <c r="A9" s="232">
        <v>96</v>
      </c>
      <c r="B9" s="586">
        <v>41929</v>
      </c>
      <c r="C9" s="305" t="s">
        <v>984</v>
      </c>
      <c r="D9" s="305" t="s">
        <v>583</v>
      </c>
      <c r="E9" s="360">
        <v>10000</v>
      </c>
      <c r="F9" s="306" t="s">
        <v>21</v>
      </c>
      <c r="G9" s="307" t="s">
        <v>208</v>
      </c>
      <c r="H9" s="307" t="s">
        <v>294</v>
      </c>
      <c r="I9" s="153" t="s">
        <v>385</v>
      </c>
      <c r="J9" s="341"/>
    </row>
    <row r="10" spans="1:10" s="188" customFormat="1" ht="37.5" customHeight="1" outlineLevel="2">
      <c r="A10" s="232">
        <v>104</v>
      </c>
      <c r="B10" s="196">
        <v>41949</v>
      </c>
      <c r="C10" s="309" t="s">
        <v>975</v>
      </c>
      <c r="D10" s="305" t="s">
        <v>583</v>
      </c>
      <c r="E10" s="342">
        <v>10000</v>
      </c>
      <c r="F10" s="306" t="s">
        <v>21</v>
      </c>
      <c r="G10" s="307" t="s">
        <v>208</v>
      </c>
      <c r="H10" s="307" t="s">
        <v>294</v>
      </c>
      <c r="I10" s="153" t="s">
        <v>385</v>
      </c>
      <c r="J10" s="341"/>
    </row>
    <row r="11" spans="1:10" s="188" customFormat="1" ht="37.5" customHeight="1" outlineLevel="2">
      <c r="A11" s="232">
        <v>106</v>
      </c>
      <c r="B11" s="196">
        <v>41953</v>
      </c>
      <c r="C11" s="309" t="s">
        <v>974</v>
      </c>
      <c r="D11" s="305" t="s">
        <v>594</v>
      </c>
      <c r="E11" s="342">
        <v>20000</v>
      </c>
      <c r="F11" s="306" t="s">
        <v>21</v>
      </c>
      <c r="G11" s="307" t="s">
        <v>208</v>
      </c>
      <c r="H11" s="307" t="s">
        <v>294</v>
      </c>
      <c r="I11" s="153" t="s">
        <v>594</v>
      </c>
      <c r="J11" s="341"/>
    </row>
    <row r="12" spans="1:10" s="188" customFormat="1" ht="37.5" customHeight="1" outlineLevel="2">
      <c r="A12" s="232">
        <v>109</v>
      </c>
      <c r="B12" s="196">
        <v>41957</v>
      </c>
      <c r="C12" s="309" t="s">
        <v>976</v>
      </c>
      <c r="D12" s="305" t="s">
        <v>591</v>
      </c>
      <c r="E12" s="342">
        <v>6000</v>
      </c>
      <c r="F12" s="306" t="s">
        <v>21</v>
      </c>
      <c r="G12" s="307" t="s">
        <v>208</v>
      </c>
      <c r="H12" s="307" t="s">
        <v>294</v>
      </c>
      <c r="I12" s="153" t="s">
        <v>591</v>
      </c>
      <c r="J12" s="341"/>
    </row>
    <row r="13" spans="1:10" s="188" customFormat="1" ht="37.5" customHeight="1" outlineLevel="2">
      <c r="A13" s="232">
        <v>114</v>
      </c>
      <c r="B13" s="196">
        <v>41995</v>
      </c>
      <c r="C13" s="309" t="s">
        <v>977</v>
      </c>
      <c r="D13" s="305" t="s">
        <v>594</v>
      </c>
      <c r="E13" s="342">
        <v>8000</v>
      </c>
      <c r="F13" s="306" t="s">
        <v>21</v>
      </c>
      <c r="G13" s="307" t="s">
        <v>208</v>
      </c>
      <c r="H13" s="307" t="s">
        <v>294</v>
      </c>
      <c r="I13" s="153" t="s">
        <v>594</v>
      </c>
      <c r="J13" s="341"/>
    </row>
    <row r="14" spans="1:10" s="188" customFormat="1" ht="37.5" customHeight="1" outlineLevel="1">
      <c r="A14" s="232"/>
      <c r="B14" s="196"/>
      <c r="C14" s="309"/>
      <c r="D14" s="305"/>
      <c r="E14" s="342">
        <f>SUBTOTAL(9,E4:E13)</f>
        <v>84820.85</v>
      </c>
      <c r="F14" s="605" t="s">
        <v>1023</v>
      </c>
      <c r="G14" s="307"/>
      <c r="H14" s="307"/>
      <c r="I14" s="153"/>
      <c r="J14" s="341"/>
    </row>
    <row r="15" spans="1:10" s="188" customFormat="1" ht="37.5" customHeight="1" outlineLevel="2">
      <c r="A15" s="232">
        <v>41</v>
      </c>
      <c r="B15" s="196">
        <v>41729</v>
      </c>
      <c r="C15" s="352" t="s">
        <v>386</v>
      </c>
      <c r="D15" s="305" t="s">
        <v>293</v>
      </c>
      <c r="E15" s="342">
        <v>0.67</v>
      </c>
      <c r="F15" s="306" t="s">
        <v>23</v>
      </c>
      <c r="G15" s="307" t="s">
        <v>97</v>
      </c>
      <c r="H15" s="307" t="s">
        <v>294</v>
      </c>
      <c r="I15" s="153" t="s">
        <v>366</v>
      </c>
      <c r="J15" s="341"/>
    </row>
    <row r="16" spans="1:10" s="51" customFormat="1" ht="37.5" customHeight="1" outlineLevel="2">
      <c r="A16" s="232">
        <v>42</v>
      </c>
      <c r="B16" s="546">
        <v>41729</v>
      </c>
      <c r="C16" s="547" t="s">
        <v>386</v>
      </c>
      <c r="D16" s="548" t="s">
        <v>293</v>
      </c>
      <c r="E16" s="549">
        <v>0.97</v>
      </c>
      <c r="F16" s="550" t="s">
        <v>38</v>
      </c>
      <c r="G16" s="551" t="s">
        <v>183</v>
      </c>
      <c r="H16" s="551" t="s">
        <v>294</v>
      </c>
      <c r="I16" s="552" t="s">
        <v>751</v>
      </c>
      <c r="J16" s="229"/>
    </row>
    <row r="17" spans="1:10" s="188" customFormat="1" ht="37.5" customHeight="1" outlineLevel="2">
      <c r="A17" s="232">
        <v>67</v>
      </c>
      <c r="B17" s="196">
        <v>41820</v>
      </c>
      <c r="C17" s="555" t="s">
        <v>386</v>
      </c>
      <c r="D17" s="392" t="s">
        <v>293</v>
      </c>
      <c r="E17" s="360">
        <v>0.67</v>
      </c>
      <c r="F17" s="306" t="s">
        <v>23</v>
      </c>
      <c r="G17" s="307" t="s">
        <v>97</v>
      </c>
      <c r="H17" s="307" t="s">
        <v>294</v>
      </c>
      <c r="I17" s="153" t="s">
        <v>366</v>
      </c>
      <c r="J17" s="341"/>
    </row>
    <row r="18" spans="1:10" s="188" customFormat="1" ht="37.5" customHeight="1" outlineLevel="2">
      <c r="A18" s="232">
        <v>95</v>
      </c>
      <c r="B18" s="196">
        <v>41912</v>
      </c>
      <c r="C18" s="598" t="s">
        <v>386</v>
      </c>
      <c r="D18" s="600" t="s">
        <v>293</v>
      </c>
      <c r="E18" s="342">
        <v>1.06</v>
      </c>
      <c r="F18" s="306" t="s">
        <v>23</v>
      </c>
      <c r="G18" s="307" t="s">
        <v>97</v>
      </c>
      <c r="H18" s="307" t="s">
        <v>294</v>
      </c>
      <c r="I18" s="153" t="s">
        <v>366</v>
      </c>
      <c r="J18" s="341"/>
    </row>
    <row r="19" spans="1:10" s="188" customFormat="1" ht="37.5" customHeight="1" outlineLevel="2">
      <c r="A19" s="232">
        <v>128</v>
      </c>
      <c r="B19" s="196">
        <v>42004</v>
      </c>
      <c r="C19" s="555" t="s">
        <v>386</v>
      </c>
      <c r="D19" s="392" t="s">
        <v>293</v>
      </c>
      <c r="E19" s="360">
        <v>0.98</v>
      </c>
      <c r="F19" s="306" t="s">
        <v>23</v>
      </c>
      <c r="G19" s="307" t="s">
        <v>97</v>
      </c>
      <c r="H19" s="307" t="s">
        <v>294</v>
      </c>
      <c r="I19" s="153" t="s">
        <v>366</v>
      </c>
      <c r="J19" s="341"/>
    </row>
    <row r="20" spans="1:10" s="188" customFormat="1" ht="37.5" customHeight="1" outlineLevel="1">
      <c r="A20" s="232"/>
      <c r="B20" s="196"/>
      <c r="C20" s="555"/>
      <c r="D20" s="392"/>
      <c r="E20" s="360">
        <f>SUBTOTAL(9,E15:E19)</f>
        <v>4.35</v>
      </c>
      <c r="F20" s="605" t="s">
        <v>1024</v>
      </c>
      <c r="G20" s="307"/>
      <c r="H20" s="307"/>
      <c r="I20" s="153"/>
      <c r="J20" s="341"/>
    </row>
    <row r="21" spans="1:10" s="188" customFormat="1" ht="37.5" customHeight="1" outlineLevel="2">
      <c r="A21" s="232">
        <v>30</v>
      </c>
      <c r="B21" s="196">
        <v>41705</v>
      </c>
      <c r="C21" s="391" t="s">
        <v>584</v>
      </c>
      <c r="D21" s="392" t="s">
        <v>361</v>
      </c>
      <c r="E21" s="360">
        <v>2582.64</v>
      </c>
      <c r="F21" s="306" t="s">
        <v>26</v>
      </c>
      <c r="G21" s="307" t="s">
        <v>100</v>
      </c>
      <c r="H21" s="307" t="s">
        <v>294</v>
      </c>
      <c r="I21" s="153" t="s">
        <v>384</v>
      </c>
      <c r="J21" s="341"/>
    </row>
    <row r="22" spans="1:10" s="188" customFormat="1" ht="37.5" customHeight="1" outlineLevel="2">
      <c r="A22" s="232">
        <v>40</v>
      </c>
      <c r="B22" s="196">
        <v>41717</v>
      </c>
      <c r="C22" s="391" t="s">
        <v>581</v>
      </c>
      <c r="D22" s="600" t="s">
        <v>355</v>
      </c>
      <c r="E22" s="351">
        <v>1994.56</v>
      </c>
      <c r="F22" s="306" t="s">
        <v>26</v>
      </c>
      <c r="G22" s="307" t="s">
        <v>100</v>
      </c>
      <c r="H22" s="307" t="s">
        <v>294</v>
      </c>
      <c r="I22" s="153" t="s">
        <v>384</v>
      </c>
      <c r="J22" s="341"/>
    </row>
    <row r="23" spans="1:9" ht="37.5" customHeight="1" outlineLevel="2">
      <c r="A23" s="232">
        <v>51</v>
      </c>
      <c r="B23" s="196">
        <v>41743</v>
      </c>
      <c r="C23" s="314" t="s">
        <v>582</v>
      </c>
      <c r="D23" s="314" t="s">
        <v>583</v>
      </c>
      <c r="E23" s="351">
        <v>1775.77</v>
      </c>
      <c r="F23" s="306" t="s">
        <v>26</v>
      </c>
      <c r="G23" s="307" t="s">
        <v>100</v>
      </c>
      <c r="H23" s="307" t="s">
        <v>294</v>
      </c>
      <c r="I23" s="153" t="s">
        <v>384</v>
      </c>
    </row>
    <row r="24" spans="1:10" s="188" customFormat="1" ht="37.5" customHeight="1" outlineLevel="2">
      <c r="A24" s="232">
        <v>53</v>
      </c>
      <c r="B24" s="196">
        <v>41754</v>
      </c>
      <c r="C24" s="314" t="s">
        <v>586</v>
      </c>
      <c r="D24" s="314" t="s">
        <v>587</v>
      </c>
      <c r="E24" s="351">
        <v>330</v>
      </c>
      <c r="F24" s="306" t="s">
        <v>26</v>
      </c>
      <c r="G24" s="307" t="s">
        <v>100</v>
      </c>
      <c r="H24" s="307" t="s">
        <v>294</v>
      </c>
      <c r="I24" s="153" t="s">
        <v>384</v>
      </c>
      <c r="J24" s="341"/>
    </row>
    <row r="25" spans="1:10" s="188" customFormat="1" ht="37.5" customHeight="1" outlineLevel="2">
      <c r="A25" s="232">
        <v>66</v>
      </c>
      <c r="B25" s="196">
        <v>41820</v>
      </c>
      <c r="C25" s="312" t="s">
        <v>588</v>
      </c>
      <c r="D25" s="312" t="s">
        <v>587</v>
      </c>
      <c r="E25" s="363">
        <v>97.61</v>
      </c>
      <c r="F25" s="306" t="s">
        <v>26</v>
      </c>
      <c r="G25" s="307" t="s">
        <v>100</v>
      </c>
      <c r="H25" s="307" t="s">
        <v>294</v>
      </c>
      <c r="I25" s="153" t="s">
        <v>384</v>
      </c>
      <c r="J25" s="341"/>
    </row>
    <row r="26" spans="1:10" s="188" customFormat="1" ht="37.5" customHeight="1" outlineLevel="2">
      <c r="A26" s="232">
        <v>97</v>
      </c>
      <c r="B26" s="586">
        <v>41929</v>
      </c>
      <c r="C26" s="305" t="s">
        <v>984</v>
      </c>
      <c r="D26" s="305" t="s">
        <v>583</v>
      </c>
      <c r="E26" s="360">
        <v>2200</v>
      </c>
      <c r="F26" s="306" t="s">
        <v>26</v>
      </c>
      <c r="G26" s="307" t="s">
        <v>100</v>
      </c>
      <c r="H26" s="307" t="s">
        <v>294</v>
      </c>
      <c r="I26" s="153" t="s">
        <v>384</v>
      </c>
      <c r="J26" s="341"/>
    </row>
    <row r="27" spans="1:10" s="188" customFormat="1" ht="37.5" customHeight="1" outlineLevel="2">
      <c r="A27" s="232">
        <v>105</v>
      </c>
      <c r="B27" s="196">
        <v>41949</v>
      </c>
      <c r="C27" s="309" t="s">
        <v>975</v>
      </c>
      <c r="D27" s="305" t="s">
        <v>583</v>
      </c>
      <c r="E27" s="342">
        <v>2200</v>
      </c>
      <c r="F27" s="306" t="s">
        <v>26</v>
      </c>
      <c r="G27" s="307" t="s">
        <v>100</v>
      </c>
      <c r="H27" s="307" t="s">
        <v>294</v>
      </c>
      <c r="I27" s="153" t="s">
        <v>384</v>
      </c>
      <c r="J27" s="341"/>
    </row>
    <row r="28" spans="1:10" s="188" customFormat="1" ht="37.5" customHeight="1" outlineLevel="2">
      <c r="A28" s="232">
        <v>107</v>
      </c>
      <c r="B28" s="196">
        <v>41953</v>
      </c>
      <c r="C28" s="309" t="s">
        <v>974</v>
      </c>
      <c r="D28" s="305" t="s">
        <v>594</v>
      </c>
      <c r="E28" s="342">
        <v>4400</v>
      </c>
      <c r="F28" s="306" t="s">
        <v>26</v>
      </c>
      <c r="G28" s="307" t="s">
        <v>100</v>
      </c>
      <c r="H28" s="307" t="s">
        <v>294</v>
      </c>
      <c r="I28" s="153" t="s">
        <v>384</v>
      </c>
      <c r="J28" s="341"/>
    </row>
    <row r="29" spans="1:10" s="188" customFormat="1" ht="37.5" customHeight="1" outlineLevel="2">
      <c r="A29" s="232">
        <v>110</v>
      </c>
      <c r="B29" s="196">
        <v>41957</v>
      </c>
      <c r="C29" s="309" t="s">
        <v>976</v>
      </c>
      <c r="D29" s="305" t="s">
        <v>591</v>
      </c>
      <c r="E29" s="342">
        <v>1320</v>
      </c>
      <c r="F29" s="306" t="s">
        <v>26</v>
      </c>
      <c r="G29" s="307" t="s">
        <v>100</v>
      </c>
      <c r="H29" s="307" t="s">
        <v>294</v>
      </c>
      <c r="I29" s="153" t="s">
        <v>384</v>
      </c>
      <c r="J29" s="341"/>
    </row>
    <row r="30" spans="1:9" ht="37.5" customHeight="1" outlineLevel="2">
      <c r="A30" s="232">
        <v>115</v>
      </c>
      <c r="B30" s="196">
        <v>41995</v>
      </c>
      <c r="C30" s="309" t="s">
        <v>977</v>
      </c>
      <c r="D30" s="305" t="s">
        <v>594</v>
      </c>
      <c r="E30" s="342">
        <v>1760</v>
      </c>
      <c r="F30" s="306" t="s">
        <v>26</v>
      </c>
      <c r="G30" s="307" t="s">
        <v>100</v>
      </c>
      <c r="H30" s="307" t="s">
        <v>294</v>
      </c>
      <c r="I30" s="153" t="s">
        <v>384</v>
      </c>
    </row>
    <row r="31" spans="1:9" ht="37.5" customHeight="1" outlineLevel="1">
      <c r="A31" s="232"/>
      <c r="B31" s="196"/>
      <c r="C31" s="309"/>
      <c r="D31" s="305"/>
      <c r="E31" s="342">
        <f>SUBTOTAL(9,E21:E30)</f>
        <v>18660.579999999998</v>
      </c>
      <c r="F31" s="605" t="s">
        <v>1025</v>
      </c>
      <c r="G31" s="307"/>
      <c r="H31" s="307"/>
      <c r="I31" s="153"/>
    </row>
    <row r="32" spans="1:9" ht="37.5" customHeight="1" outlineLevel="2">
      <c r="A32" s="232">
        <v>1</v>
      </c>
      <c r="B32" s="196">
        <v>41647</v>
      </c>
      <c r="C32" s="337" t="s">
        <v>575</v>
      </c>
      <c r="D32" s="305" t="s">
        <v>363</v>
      </c>
      <c r="E32" s="342">
        <v>0.45</v>
      </c>
      <c r="F32" s="306" t="s">
        <v>27</v>
      </c>
      <c r="G32" s="307" t="s">
        <v>331</v>
      </c>
      <c r="H32" s="307" t="s">
        <v>294</v>
      </c>
      <c r="I32" s="153" t="s">
        <v>336</v>
      </c>
    </row>
    <row r="33" spans="1:9" ht="37.5" customHeight="1" outlineLevel="2">
      <c r="A33" s="232">
        <v>7</v>
      </c>
      <c r="B33" s="196">
        <v>41647</v>
      </c>
      <c r="C33" s="152" t="s">
        <v>575</v>
      </c>
      <c r="D33" s="154" t="s">
        <v>333</v>
      </c>
      <c r="E33" s="155">
        <v>0.33</v>
      </c>
      <c r="F33" s="151" t="s">
        <v>27</v>
      </c>
      <c r="G33" s="152" t="s">
        <v>331</v>
      </c>
      <c r="H33" s="307" t="s">
        <v>294</v>
      </c>
      <c r="I33" s="153" t="s">
        <v>336</v>
      </c>
    </row>
    <row r="34" spans="1:10" s="51" customFormat="1" ht="37.5" customHeight="1" outlineLevel="2">
      <c r="A34" s="232">
        <v>18</v>
      </c>
      <c r="B34" s="196">
        <v>41661</v>
      </c>
      <c r="C34" s="152" t="s">
        <v>441</v>
      </c>
      <c r="D34" s="308" t="s">
        <v>388</v>
      </c>
      <c r="E34" s="360">
        <v>12977</v>
      </c>
      <c r="F34" s="368" t="s">
        <v>27</v>
      </c>
      <c r="G34" s="307" t="s">
        <v>331</v>
      </c>
      <c r="H34" s="307" t="s">
        <v>294</v>
      </c>
      <c r="I34" s="153" t="s">
        <v>336</v>
      </c>
      <c r="J34" s="229"/>
    </row>
    <row r="35" spans="1:10" s="188" customFormat="1" ht="37.5" customHeight="1" outlineLevel="2">
      <c r="A35" s="232">
        <v>31</v>
      </c>
      <c r="B35" s="196">
        <v>41708</v>
      </c>
      <c r="C35" s="152" t="s">
        <v>609</v>
      </c>
      <c r="D35" s="154" t="s">
        <v>333</v>
      </c>
      <c r="E35" s="155">
        <v>0.61</v>
      </c>
      <c r="F35" s="151" t="s">
        <v>27</v>
      </c>
      <c r="G35" s="152" t="s">
        <v>331</v>
      </c>
      <c r="H35" s="307" t="s">
        <v>294</v>
      </c>
      <c r="I35" s="153" t="s">
        <v>336</v>
      </c>
      <c r="J35" s="341"/>
    </row>
    <row r="36" spans="1:10" s="188" customFormat="1" ht="37.5" customHeight="1" outlineLevel="2">
      <c r="A36" s="232">
        <v>38</v>
      </c>
      <c r="B36" s="196">
        <v>41715</v>
      </c>
      <c r="C36" s="352" t="s">
        <v>463</v>
      </c>
      <c r="D36" s="150" t="s">
        <v>464</v>
      </c>
      <c r="E36" s="342">
        <v>3750</v>
      </c>
      <c r="F36" s="306" t="s">
        <v>27</v>
      </c>
      <c r="G36" s="307" t="s">
        <v>331</v>
      </c>
      <c r="H36" s="307" t="s">
        <v>294</v>
      </c>
      <c r="I36" s="153" t="s">
        <v>335</v>
      </c>
      <c r="J36" s="341"/>
    </row>
    <row r="37" spans="1:10" s="188" customFormat="1" ht="37.5" customHeight="1" outlineLevel="2">
      <c r="A37" s="232">
        <v>46</v>
      </c>
      <c r="B37" s="196">
        <v>41733</v>
      </c>
      <c r="C37" s="352" t="s">
        <v>616</v>
      </c>
      <c r="D37" s="305" t="s">
        <v>364</v>
      </c>
      <c r="E37" s="342">
        <v>0.97</v>
      </c>
      <c r="F37" s="306" t="s">
        <v>27</v>
      </c>
      <c r="G37" s="307" t="s">
        <v>331</v>
      </c>
      <c r="H37" s="307" t="s">
        <v>294</v>
      </c>
      <c r="I37" s="153" t="s">
        <v>336</v>
      </c>
      <c r="J37" s="341"/>
    </row>
    <row r="38" spans="1:10" s="188" customFormat="1" ht="37.5" customHeight="1" outlineLevel="2">
      <c r="A38" s="232">
        <v>54</v>
      </c>
      <c r="B38" s="196">
        <v>41764</v>
      </c>
      <c r="C38" s="152" t="s">
        <v>631</v>
      </c>
      <c r="D38" s="154" t="s">
        <v>333</v>
      </c>
      <c r="E38" s="155">
        <v>0.8</v>
      </c>
      <c r="F38" s="151" t="s">
        <v>27</v>
      </c>
      <c r="G38" s="152" t="s">
        <v>331</v>
      </c>
      <c r="H38" s="307" t="s">
        <v>294</v>
      </c>
      <c r="I38" s="153" t="s">
        <v>336</v>
      </c>
      <c r="J38" s="341"/>
    </row>
    <row r="39" spans="1:10" s="188" customFormat="1" ht="37.5" customHeight="1" outlineLevel="2">
      <c r="A39" s="232">
        <v>63</v>
      </c>
      <c r="B39" s="196">
        <v>41806</v>
      </c>
      <c r="C39" s="309" t="s">
        <v>676</v>
      </c>
      <c r="D39" s="305" t="s">
        <v>382</v>
      </c>
      <c r="E39" s="342">
        <v>58</v>
      </c>
      <c r="F39" s="306" t="s">
        <v>27</v>
      </c>
      <c r="G39" s="307" t="s">
        <v>331</v>
      </c>
      <c r="H39" s="307" t="s">
        <v>294</v>
      </c>
      <c r="I39" s="153" t="s">
        <v>366</v>
      </c>
      <c r="J39" s="341"/>
    </row>
    <row r="40" spans="1:10" s="188" customFormat="1" ht="37.5" customHeight="1" outlineLevel="2">
      <c r="A40" s="232">
        <v>68</v>
      </c>
      <c r="B40" s="196">
        <v>41827</v>
      </c>
      <c r="C40" s="152" t="s">
        <v>639</v>
      </c>
      <c r="D40" s="154" t="s">
        <v>333</v>
      </c>
      <c r="E40" s="155">
        <v>0.45</v>
      </c>
      <c r="F40" s="151" t="s">
        <v>27</v>
      </c>
      <c r="G40" s="152" t="s">
        <v>331</v>
      </c>
      <c r="H40" s="307" t="s">
        <v>294</v>
      </c>
      <c r="I40" s="153" t="s">
        <v>336</v>
      </c>
      <c r="J40" s="341"/>
    </row>
    <row r="41" spans="1:10" s="188" customFormat="1" ht="37.5" customHeight="1" outlineLevel="2">
      <c r="A41" s="232">
        <v>74</v>
      </c>
      <c r="B41" s="196">
        <v>41827</v>
      </c>
      <c r="C41" s="152" t="s">
        <v>639</v>
      </c>
      <c r="D41" s="154" t="s">
        <v>599</v>
      </c>
      <c r="E41" s="155">
        <v>0.76</v>
      </c>
      <c r="F41" s="151" t="s">
        <v>27</v>
      </c>
      <c r="G41" s="152" t="s">
        <v>331</v>
      </c>
      <c r="H41" s="307" t="s">
        <v>294</v>
      </c>
      <c r="I41" s="153" t="s">
        <v>336</v>
      </c>
      <c r="J41" s="341"/>
    </row>
    <row r="42" spans="1:10" s="188" customFormat="1" ht="37.5" customHeight="1" outlineLevel="2">
      <c r="A42" s="232">
        <v>84</v>
      </c>
      <c r="B42" s="196">
        <v>41883</v>
      </c>
      <c r="C42" s="152" t="s">
        <v>649</v>
      </c>
      <c r="D42" s="154" t="s">
        <v>333</v>
      </c>
      <c r="E42" s="155">
        <v>0.03</v>
      </c>
      <c r="F42" s="151" t="s">
        <v>27</v>
      </c>
      <c r="G42" s="152" t="s">
        <v>331</v>
      </c>
      <c r="H42" s="307" t="s">
        <v>294</v>
      </c>
      <c r="I42" s="153" t="s">
        <v>336</v>
      </c>
      <c r="J42" s="341"/>
    </row>
    <row r="43" spans="1:10" s="51" customFormat="1" ht="37.5" customHeight="1" outlineLevel="2">
      <c r="A43" s="232">
        <v>92</v>
      </c>
      <c r="B43" s="196">
        <v>41893</v>
      </c>
      <c r="C43" s="352" t="s">
        <v>531</v>
      </c>
      <c r="D43" s="308" t="s">
        <v>548</v>
      </c>
      <c r="E43" s="360">
        <v>5000</v>
      </c>
      <c r="F43" s="306" t="s">
        <v>27</v>
      </c>
      <c r="G43" s="307" t="s">
        <v>331</v>
      </c>
      <c r="H43" s="307" t="s">
        <v>295</v>
      </c>
      <c r="I43" s="153" t="s">
        <v>335</v>
      </c>
      <c r="J43" s="229"/>
    </row>
    <row r="44" spans="1:10" s="51" customFormat="1" ht="37.5" customHeight="1" outlineLevel="2">
      <c r="A44" s="232">
        <v>93</v>
      </c>
      <c r="B44" s="196">
        <v>41893</v>
      </c>
      <c r="C44" s="352" t="s">
        <v>531</v>
      </c>
      <c r="D44" s="308" t="s">
        <v>548</v>
      </c>
      <c r="E44" s="558">
        <v>7500</v>
      </c>
      <c r="F44" s="368" t="s">
        <v>27</v>
      </c>
      <c r="G44" s="307" t="s">
        <v>331</v>
      </c>
      <c r="H44" s="307" t="s">
        <v>294</v>
      </c>
      <c r="I44" s="153" t="s">
        <v>335</v>
      </c>
      <c r="J44" s="229"/>
    </row>
    <row r="45" spans="1:10" s="51" customFormat="1" ht="37.5" customHeight="1" outlineLevel="2">
      <c r="A45" s="232">
        <v>94</v>
      </c>
      <c r="B45" s="196">
        <v>41894</v>
      </c>
      <c r="C45" s="309" t="s">
        <v>532</v>
      </c>
      <c r="D45" s="305" t="s">
        <v>549</v>
      </c>
      <c r="E45" s="367">
        <v>7500</v>
      </c>
      <c r="F45" s="306" t="s">
        <v>27</v>
      </c>
      <c r="G45" s="307" t="s">
        <v>331</v>
      </c>
      <c r="H45" s="307" t="s">
        <v>294</v>
      </c>
      <c r="I45" s="153" t="s">
        <v>366</v>
      </c>
      <c r="J45" s="229"/>
    </row>
    <row r="46" spans="1:10" s="51" customFormat="1" ht="37.5" customHeight="1" outlineLevel="2">
      <c r="A46" s="232">
        <v>98</v>
      </c>
      <c r="B46" s="196">
        <v>41883</v>
      </c>
      <c r="C46" s="152" t="s">
        <v>1022</v>
      </c>
      <c r="D46" s="154" t="s">
        <v>388</v>
      </c>
      <c r="E46" s="155">
        <v>0.59</v>
      </c>
      <c r="F46" s="151" t="s">
        <v>27</v>
      </c>
      <c r="G46" s="152" t="s">
        <v>331</v>
      </c>
      <c r="H46" s="307" t="s">
        <v>294</v>
      </c>
      <c r="I46" s="153" t="s">
        <v>336</v>
      </c>
      <c r="J46" s="229"/>
    </row>
    <row r="47" spans="1:10" s="51" customFormat="1" ht="37.5" customHeight="1" outlineLevel="2">
      <c r="A47" s="232">
        <v>113</v>
      </c>
      <c r="B47" s="196">
        <v>41989</v>
      </c>
      <c r="C47" s="309" t="s">
        <v>956</v>
      </c>
      <c r="D47" s="305" t="s">
        <v>388</v>
      </c>
      <c r="E47" s="342">
        <v>3588</v>
      </c>
      <c r="F47" s="306" t="s">
        <v>27</v>
      </c>
      <c r="G47" s="307" t="s">
        <v>331</v>
      </c>
      <c r="H47" s="307" t="s">
        <v>294</v>
      </c>
      <c r="I47" s="153" t="s">
        <v>366</v>
      </c>
      <c r="J47" s="229"/>
    </row>
    <row r="48" spans="1:10" s="51" customFormat="1" ht="37.5" customHeight="1" outlineLevel="2">
      <c r="A48" s="232">
        <v>116</v>
      </c>
      <c r="B48" s="196">
        <v>42002</v>
      </c>
      <c r="C48" s="152" t="s">
        <v>1012</v>
      </c>
      <c r="D48" s="154" t="s">
        <v>599</v>
      </c>
      <c r="E48" s="155">
        <v>0.97</v>
      </c>
      <c r="F48" s="151" t="s">
        <v>27</v>
      </c>
      <c r="G48" s="152" t="s">
        <v>331</v>
      </c>
      <c r="H48" s="307" t="s">
        <v>294</v>
      </c>
      <c r="I48" s="153" t="s">
        <v>336</v>
      </c>
      <c r="J48" s="229"/>
    </row>
    <row r="49" spans="1:10" s="51" customFormat="1" ht="37.5" customHeight="1" outlineLevel="2">
      <c r="A49" s="232">
        <v>122</v>
      </c>
      <c r="B49" s="196">
        <v>42002</v>
      </c>
      <c r="C49" s="152" t="s">
        <v>1012</v>
      </c>
      <c r="D49" s="340" t="s">
        <v>333</v>
      </c>
      <c r="E49" s="155">
        <v>0.33</v>
      </c>
      <c r="F49" s="151" t="s">
        <v>27</v>
      </c>
      <c r="G49" s="152" t="s">
        <v>331</v>
      </c>
      <c r="H49" s="307" t="s">
        <v>294</v>
      </c>
      <c r="I49" s="153" t="s">
        <v>336</v>
      </c>
      <c r="J49" s="229"/>
    </row>
    <row r="50" spans="1:10" s="51" customFormat="1" ht="37.5" customHeight="1" outlineLevel="2">
      <c r="A50" s="232">
        <v>64</v>
      </c>
      <c r="B50" s="546">
        <v>41807</v>
      </c>
      <c r="C50" s="547" t="s">
        <v>745</v>
      </c>
      <c r="D50" s="548" t="s">
        <v>284</v>
      </c>
      <c r="E50" s="549">
        <v>165</v>
      </c>
      <c r="F50" s="653" t="s">
        <v>27</v>
      </c>
      <c r="G50" s="575" t="s">
        <v>331</v>
      </c>
      <c r="H50" s="551" t="s">
        <v>294</v>
      </c>
      <c r="I50" s="552" t="s">
        <v>751</v>
      </c>
      <c r="J50" s="229"/>
    </row>
    <row r="51" spans="1:10" s="51" customFormat="1" ht="37.5" customHeight="1" outlineLevel="2">
      <c r="A51" s="232">
        <v>80</v>
      </c>
      <c r="B51" s="546">
        <v>41827</v>
      </c>
      <c r="C51" s="547" t="s">
        <v>746</v>
      </c>
      <c r="D51" s="548" t="s">
        <v>284</v>
      </c>
      <c r="E51" s="549">
        <v>75</v>
      </c>
      <c r="F51" s="653" t="s">
        <v>27</v>
      </c>
      <c r="G51" s="575" t="s">
        <v>331</v>
      </c>
      <c r="H51" s="551" t="s">
        <v>294</v>
      </c>
      <c r="I51" s="552" t="s">
        <v>751</v>
      </c>
      <c r="J51" s="229"/>
    </row>
    <row r="52" spans="1:10" s="51" customFormat="1" ht="37.5" customHeight="1" outlineLevel="2">
      <c r="A52" s="232">
        <v>81</v>
      </c>
      <c r="B52" s="546">
        <v>41841</v>
      </c>
      <c r="C52" s="547" t="s">
        <v>747</v>
      </c>
      <c r="D52" s="548" t="s">
        <v>284</v>
      </c>
      <c r="E52" s="549">
        <v>500</v>
      </c>
      <c r="F52" s="653" t="s">
        <v>27</v>
      </c>
      <c r="G52" s="575" t="s">
        <v>331</v>
      </c>
      <c r="H52" s="551" t="s">
        <v>294</v>
      </c>
      <c r="I52" s="552" t="s">
        <v>751</v>
      </c>
      <c r="J52" s="229"/>
    </row>
    <row r="53" spans="1:10" s="51" customFormat="1" ht="37.5" customHeight="1" outlineLevel="1">
      <c r="A53" s="232"/>
      <c r="B53" s="546"/>
      <c r="C53" s="547"/>
      <c r="D53" s="548"/>
      <c r="E53" s="549">
        <f>SUBTOTAL(9,E32:E52)</f>
        <v>41119.28999999999</v>
      </c>
      <c r="F53" s="654" t="s">
        <v>1026</v>
      </c>
      <c r="G53" s="575"/>
      <c r="H53" s="551"/>
      <c r="I53" s="552"/>
      <c r="J53" s="229"/>
    </row>
    <row r="54" spans="1:10" s="51" customFormat="1" ht="37.5" customHeight="1" outlineLevel="2">
      <c r="A54" s="232">
        <v>25</v>
      </c>
      <c r="B54" s="546">
        <v>41675</v>
      </c>
      <c r="C54" s="547" t="s">
        <v>743</v>
      </c>
      <c r="D54" s="548" t="s">
        <v>749</v>
      </c>
      <c r="E54" s="549">
        <v>3000</v>
      </c>
      <c r="F54" s="550" t="s">
        <v>38</v>
      </c>
      <c r="G54" s="551" t="s">
        <v>183</v>
      </c>
      <c r="H54" s="551" t="s">
        <v>294</v>
      </c>
      <c r="I54" s="552" t="s">
        <v>751</v>
      </c>
      <c r="J54" s="229"/>
    </row>
    <row r="55" spans="1:10" s="51" customFormat="1" ht="37.5" customHeight="1" outlineLevel="2">
      <c r="A55" s="232">
        <v>26</v>
      </c>
      <c r="B55" s="546">
        <v>41676</v>
      </c>
      <c r="C55" s="547" t="s">
        <v>744</v>
      </c>
      <c r="D55" s="548" t="s">
        <v>749</v>
      </c>
      <c r="E55" s="549">
        <v>500</v>
      </c>
      <c r="F55" s="604" t="s">
        <v>38</v>
      </c>
      <c r="G55" s="551" t="s">
        <v>183</v>
      </c>
      <c r="H55" s="551" t="s">
        <v>294</v>
      </c>
      <c r="I55" s="552" t="s">
        <v>751</v>
      </c>
      <c r="J55" s="229"/>
    </row>
    <row r="56" spans="1:10" s="51" customFormat="1" ht="37.5" customHeight="1" outlineLevel="2">
      <c r="A56" s="232">
        <v>37</v>
      </c>
      <c r="B56" s="196">
        <v>41711</v>
      </c>
      <c r="C56" s="352" t="s">
        <v>462</v>
      </c>
      <c r="D56" s="308" t="s">
        <v>547</v>
      </c>
      <c r="E56" s="360">
        <v>46207.66</v>
      </c>
      <c r="F56" s="306" t="s">
        <v>38</v>
      </c>
      <c r="G56" s="307" t="s">
        <v>183</v>
      </c>
      <c r="H56" s="307" t="s">
        <v>295</v>
      </c>
      <c r="I56" s="153" t="s">
        <v>383</v>
      </c>
      <c r="J56" s="229"/>
    </row>
    <row r="57" spans="1:10" s="51" customFormat="1" ht="37.5" customHeight="1" outlineLevel="2">
      <c r="A57" s="232">
        <v>62</v>
      </c>
      <c r="B57" s="196">
        <v>41772</v>
      </c>
      <c r="C57" s="309" t="s">
        <v>498</v>
      </c>
      <c r="D57" s="305" t="s">
        <v>547</v>
      </c>
      <c r="E57" s="342">
        <v>6610.46</v>
      </c>
      <c r="F57" s="306" t="s">
        <v>38</v>
      </c>
      <c r="G57" s="307" t="s">
        <v>183</v>
      </c>
      <c r="H57" s="307" t="s">
        <v>294</v>
      </c>
      <c r="I57" s="153" t="s">
        <v>499</v>
      </c>
      <c r="J57" s="229"/>
    </row>
    <row r="58" spans="1:10" s="188" customFormat="1" ht="37.5" customHeight="1" outlineLevel="2">
      <c r="A58" s="232">
        <v>82</v>
      </c>
      <c r="B58" s="196">
        <v>41849</v>
      </c>
      <c r="C58" s="352" t="s">
        <v>517</v>
      </c>
      <c r="D58" s="308" t="s">
        <v>547</v>
      </c>
      <c r="E58" s="360">
        <v>60367.62</v>
      </c>
      <c r="F58" s="306" t="s">
        <v>38</v>
      </c>
      <c r="G58" s="307" t="s">
        <v>183</v>
      </c>
      <c r="H58" s="307" t="s">
        <v>294</v>
      </c>
      <c r="I58" s="153" t="s">
        <v>324</v>
      </c>
      <c r="J58" s="341"/>
    </row>
    <row r="59" spans="1:10" s="188" customFormat="1" ht="37.5" customHeight="1" outlineLevel="2">
      <c r="A59" s="232">
        <v>83</v>
      </c>
      <c r="B59" s="546">
        <v>41862</v>
      </c>
      <c r="C59" s="547" t="s">
        <v>748</v>
      </c>
      <c r="D59" s="548" t="s">
        <v>750</v>
      </c>
      <c r="E59" s="549">
        <v>26000</v>
      </c>
      <c r="F59" s="550" t="s">
        <v>38</v>
      </c>
      <c r="G59" s="551" t="s">
        <v>183</v>
      </c>
      <c r="H59" s="551" t="s">
        <v>294</v>
      </c>
      <c r="I59" s="552" t="s">
        <v>751</v>
      </c>
      <c r="J59" s="341"/>
    </row>
    <row r="60" spans="1:10" s="188" customFormat="1" ht="37.5" customHeight="1" outlineLevel="2">
      <c r="A60" s="232">
        <v>112</v>
      </c>
      <c r="B60" s="196">
        <v>41988</v>
      </c>
      <c r="C60" s="309" t="s">
        <v>953</v>
      </c>
      <c r="D60" s="305" t="s">
        <v>547</v>
      </c>
      <c r="E60" s="342">
        <v>7897.5</v>
      </c>
      <c r="F60" s="306" t="s">
        <v>38</v>
      </c>
      <c r="G60" s="307" t="s">
        <v>183</v>
      </c>
      <c r="H60" s="307" t="s">
        <v>294</v>
      </c>
      <c r="I60" s="153" t="s">
        <v>978</v>
      </c>
      <c r="J60" s="341"/>
    </row>
    <row r="61" spans="1:10" s="188" customFormat="1" ht="37.5" customHeight="1" outlineLevel="2">
      <c r="A61" s="232">
        <v>129</v>
      </c>
      <c r="B61" s="546">
        <v>41996</v>
      </c>
      <c r="C61" s="547" t="s">
        <v>982</v>
      </c>
      <c r="D61" s="548" t="s">
        <v>547</v>
      </c>
      <c r="E61" s="549">
        <v>3154.75</v>
      </c>
      <c r="F61" s="550" t="s">
        <v>38</v>
      </c>
      <c r="G61" s="551" t="s">
        <v>183</v>
      </c>
      <c r="H61" s="551" t="s">
        <v>294</v>
      </c>
      <c r="I61" s="552" t="s">
        <v>751</v>
      </c>
      <c r="J61" s="341"/>
    </row>
    <row r="62" spans="1:10" s="188" customFormat="1" ht="37.5" customHeight="1" outlineLevel="1">
      <c r="A62" s="232"/>
      <c r="B62" s="546"/>
      <c r="C62" s="547"/>
      <c r="D62" s="548"/>
      <c r="E62" s="549">
        <f>SUBTOTAL(9,E54:E61)</f>
        <v>153737.99</v>
      </c>
      <c r="F62" s="606" t="s">
        <v>1027</v>
      </c>
      <c r="G62" s="551"/>
      <c r="H62" s="551"/>
      <c r="I62" s="552"/>
      <c r="J62" s="341"/>
    </row>
    <row r="63" spans="1:10" s="51" customFormat="1" ht="37.5" customHeight="1" outlineLevel="2">
      <c r="A63" s="232">
        <v>2</v>
      </c>
      <c r="B63" s="196">
        <v>41647</v>
      </c>
      <c r="C63" s="337" t="s">
        <v>576</v>
      </c>
      <c r="D63" s="305" t="s">
        <v>363</v>
      </c>
      <c r="E63" s="342">
        <v>743.03</v>
      </c>
      <c r="F63" s="306" t="s">
        <v>115</v>
      </c>
      <c r="G63" s="307" t="s">
        <v>0</v>
      </c>
      <c r="H63" s="307" t="s">
        <v>294</v>
      </c>
      <c r="I63" s="153" t="s">
        <v>336</v>
      </c>
      <c r="J63" s="229"/>
    </row>
    <row r="64" spans="1:10" s="51" customFormat="1" ht="37.5" customHeight="1" outlineLevel="2">
      <c r="A64" s="232">
        <v>8</v>
      </c>
      <c r="B64" s="196">
        <v>41647</v>
      </c>
      <c r="C64" s="152" t="s">
        <v>576</v>
      </c>
      <c r="D64" s="154" t="s">
        <v>333</v>
      </c>
      <c r="E64" s="155">
        <v>208.99</v>
      </c>
      <c r="F64" s="151" t="s">
        <v>115</v>
      </c>
      <c r="G64" s="152" t="s">
        <v>0</v>
      </c>
      <c r="H64" s="307" t="s">
        <v>294</v>
      </c>
      <c r="I64" s="153" t="s">
        <v>336</v>
      </c>
      <c r="J64" s="229"/>
    </row>
    <row r="65" spans="1:10" s="51" customFormat="1" ht="37.5" customHeight="1" outlineLevel="2">
      <c r="A65" s="232">
        <v>17</v>
      </c>
      <c r="B65" s="274">
        <v>41654</v>
      </c>
      <c r="C65" s="154" t="s">
        <v>391</v>
      </c>
      <c r="D65" s="154" t="s">
        <v>330</v>
      </c>
      <c r="E65" s="155">
        <v>620</v>
      </c>
      <c r="F65" s="158" t="s">
        <v>115</v>
      </c>
      <c r="G65" s="159" t="s">
        <v>0</v>
      </c>
      <c r="H65" s="307" t="s">
        <v>295</v>
      </c>
      <c r="I65" s="153" t="s">
        <v>336</v>
      </c>
      <c r="J65" s="229"/>
    </row>
    <row r="66" spans="1:10" s="51" customFormat="1" ht="37.5" customHeight="1" outlineLevel="2">
      <c r="A66" s="232">
        <v>19</v>
      </c>
      <c r="B66" s="196">
        <v>41673</v>
      </c>
      <c r="C66" s="152" t="s">
        <v>1035</v>
      </c>
      <c r="D66" s="154" t="s">
        <v>364</v>
      </c>
      <c r="E66" s="155">
        <v>137.18</v>
      </c>
      <c r="F66" s="151" t="s">
        <v>115</v>
      </c>
      <c r="G66" s="152" t="s">
        <v>0</v>
      </c>
      <c r="H66" s="307" t="s">
        <v>294</v>
      </c>
      <c r="I66" s="153" t="s">
        <v>336</v>
      </c>
      <c r="J66" s="229"/>
    </row>
    <row r="67" spans="1:10" s="51" customFormat="1" ht="37.5" customHeight="1" outlineLevel="2">
      <c r="A67" s="232">
        <v>24</v>
      </c>
      <c r="B67" s="274">
        <v>41673</v>
      </c>
      <c r="C67" s="152" t="s">
        <v>392</v>
      </c>
      <c r="D67" s="154" t="s">
        <v>329</v>
      </c>
      <c r="E67" s="155">
        <v>500</v>
      </c>
      <c r="F67" s="158" t="s">
        <v>115</v>
      </c>
      <c r="G67" s="159" t="s">
        <v>0</v>
      </c>
      <c r="H67" s="152" t="s">
        <v>295</v>
      </c>
      <c r="I67" s="153" t="s">
        <v>336</v>
      </c>
      <c r="J67" s="229"/>
    </row>
    <row r="68" spans="1:10" s="51" customFormat="1" ht="37.5" customHeight="1" outlineLevel="2">
      <c r="A68" s="232">
        <v>27</v>
      </c>
      <c r="B68" s="196">
        <v>41690</v>
      </c>
      <c r="C68" s="152" t="s">
        <v>626</v>
      </c>
      <c r="D68" s="154" t="s">
        <v>332</v>
      </c>
      <c r="E68" s="155">
        <v>163.6</v>
      </c>
      <c r="F68" s="158" t="s">
        <v>115</v>
      </c>
      <c r="G68" s="159" t="s">
        <v>0</v>
      </c>
      <c r="H68" s="152" t="s">
        <v>294</v>
      </c>
      <c r="I68" s="153" t="s">
        <v>336</v>
      </c>
      <c r="J68" s="229"/>
    </row>
    <row r="69" spans="1:10" s="51" customFormat="1" ht="37.5" customHeight="1" outlineLevel="2">
      <c r="A69" s="232">
        <v>28</v>
      </c>
      <c r="B69" s="196">
        <v>41690</v>
      </c>
      <c r="C69" s="152" t="s">
        <v>390</v>
      </c>
      <c r="D69" s="154" t="s">
        <v>237</v>
      </c>
      <c r="E69" s="155">
        <v>500</v>
      </c>
      <c r="F69" s="90" t="s">
        <v>115</v>
      </c>
      <c r="G69" s="159" t="s">
        <v>0</v>
      </c>
      <c r="H69" s="152" t="s">
        <v>295</v>
      </c>
      <c r="I69" s="153" t="s">
        <v>336</v>
      </c>
      <c r="J69" s="229"/>
    </row>
    <row r="70" spans="1:10" s="188" customFormat="1" ht="37.5" customHeight="1" outlineLevel="2">
      <c r="A70" s="232">
        <v>32</v>
      </c>
      <c r="B70" s="196">
        <v>41708</v>
      </c>
      <c r="C70" s="152" t="s">
        <v>610</v>
      </c>
      <c r="D70" s="154" t="s">
        <v>333</v>
      </c>
      <c r="E70" s="155">
        <v>219.08</v>
      </c>
      <c r="F70" s="151" t="s">
        <v>115</v>
      </c>
      <c r="G70" s="152" t="s">
        <v>0</v>
      </c>
      <c r="H70" s="307" t="s">
        <v>294</v>
      </c>
      <c r="I70" s="153" t="s">
        <v>336</v>
      </c>
      <c r="J70" s="341"/>
    </row>
    <row r="71" spans="1:10" s="188" customFormat="1" ht="37.5" customHeight="1" outlineLevel="2">
      <c r="A71" s="232">
        <v>43</v>
      </c>
      <c r="B71" s="196">
        <v>41733</v>
      </c>
      <c r="C71" s="152" t="s">
        <v>1032</v>
      </c>
      <c r="D71" s="305" t="s">
        <v>364</v>
      </c>
      <c r="E71" s="342">
        <v>174.82000000000002</v>
      </c>
      <c r="F71" s="306" t="s">
        <v>115</v>
      </c>
      <c r="G71" s="307" t="s">
        <v>0</v>
      </c>
      <c r="H71" s="307" t="s">
        <v>294</v>
      </c>
      <c r="I71" s="153" t="s">
        <v>336</v>
      </c>
      <c r="J71" s="341"/>
    </row>
    <row r="72" spans="1:10" s="188" customFormat="1" ht="37.5" customHeight="1" outlineLevel="2">
      <c r="A72" s="232">
        <v>49</v>
      </c>
      <c r="B72" s="196">
        <v>41736</v>
      </c>
      <c r="C72" s="314" t="s">
        <v>655</v>
      </c>
      <c r="D72" s="314" t="s">
        <v>488</v>
      </c>
      <c r="E72" s="351">
        <v>3744</v>
      </c>
      <c r="F72" s="306" t="s">
        <v>115</v>
      </c>
      <c r="G72" s="307" t="s">
        <v>0</v>
      </c>
      <c r="H72" s="307" t="s">
        <v>294</v>
      </c>
      <c r="I72" s="153" t="s">
        <v>336</v>
      </c>
      <c r="J72" s="341"/>
    </row>
    <row r="73" spans="1:10" s="188" customFormat="1" ht="37.5" customHeight="1" outlineLevel="2">
      <c r="A73" s="232">
        <v>55</v>
      </c>
      <c r="B73" s="196">
        <v>41764</v>
      </c>
      <c r="C73" s="152" t="s">
        <v>632</v>
      </c>
      <c r="D73" s="154" t="s">
        <v>333</v>
      </c>
      <c r="E73" s="155">
        <v>220.51000000000002</v>
      </c>
      <c r="F73" s="151" t="s">
        <v>115</v>
      </c>
      <c r="G73" s="152" t="s">
        <v>0</v>
      </c>
      <c r="H73" s="307" t="s">
        <v>294</v>
      </c>
      <c r="I73" s="153" t="s">
        <v>336</v>
      </c>
      <c r="J73" s="341"/>
    </row>
    <row r="74" spans="1:10" s="188" customFormat="1" ht="37.5" customHeight="1" outlineLevel="2">
      <c r="A74" s="232">
        <v>60</v>
      </c>
      <c r="B74" s="196">
        <v>41764</v>
      </c>
      <c r="C74" s="314" t="s">
        <v>663</v>
      </c>
      <c r="D74" s="314" t="s">
        <v>451</v>
      </c>
      <c r="E74" s="351">
        <v>48</v>
      </c>
      <c r="F74" s="151" t="s">
        <v>115</v>
      </c>
      <c r="G74" s="152" t="s">
        <v>0</v>
      </c>
      <c r="H74" s="307" t="s">
        <v>294</v>
      </c>
      <c r="I74" s="153" t="s">
        <v>336</v>
      </c>
      <c r="J74" s="341"/>
    </row>
    <row r="75" spans="1:10" s="188" customFormat="1" ht="37.5" customHeight="1" outlineLevel="2">
      <c r="A75" s="232">
        <v>61</v>
      </c>
      <c r="B75" s="196">
        <v>41767</v>
      </c>
      <c r="C75" s="314" t="s">
        <v>664</v>
      </c>
      <c r="D75" s="314" t="s">
        <v>497</v>
      </c>
      <c r="E75" s="351">
        <v>560</v>
      </c>
      <c r="F75" s="151" t="s">
        <v>115</v>
      </c>
      <c r="G75" s="152" t="s">
        <v>0</v>
      </c>
      <c r="H75" s="307" t="s">
        <v>294</v>
      </c>
      <c r="I75" s="153" t="s">
        <v>336</v>
      </c>
      <c r="J75" s="341"/>
    </row>
    <row r="76" spans="1:10" s="188" customFormat="1" ht="37.5" customHeight="1" outlineLevel="2">
      <c r="A76" s="232">
        <v>69</v>
      </c>
      <c r="B76" s="196">
        <v>41827</v>
      </c>
      <c r="C76" s="152" t="s">
        <v>640</v>
      </c>
      <c r="D76" s="154" t="s">
        <v>333</v>
      </c>
      <c r="E76" s="155">
        <v>222.42</v>
      </c>
      <c r="F76" s="151" t="s">
        <v>115</v>
      </c>
      <c r="G76" s="152" t="s">
        <v>0</v>
      </c>
      <c r="H76" s="307" t="s">
        <v>294</v>
      </c>
      <c r="I76" s="153" t="s">
        <v>336</v>
      </c>
      <c r="J76" s="341"/>
    </row>
    <row r="77" spans="1:10" s="188" customFormat="1" ht="37.5" customHeight="1" outlineLevel="2">
      <c r="A77" s="232">
        <v>75</v>
      </c>
      <c r="B77" s="196">
        <v>41827</v>
      </c>
      <c r="C77" s="244" t="s">
        <v>640</v>
      </c>
      <c r="D77" s="228" t="s">
        <v>599</v>
      </c>
      <c r="E77" s="155">
        <v>0</v>
      </c>
      <c r="F77" s="151" t="s">
        <v>115</v>
      </c>
      <c r="G77" s="152" t="s">
        <v>0</v>
      </c>
      <c r="H77" s="307" t="s">
        <v>294</v>
      </c>
      <c r="I77" s="153" t="s">
        <v>336</v>
      </c>
      <c r="J77" s="341"/>
    </row>
    <row r="78" spans="1:10" s="188" customFormat="1" ht="37.5" customHeight="1" outlineLevel="2">
      <c r="A78" s="232">
        <v>85</v>
      </c>
      <c r="B78" s="196">
        <v>41883</v>
      </c>
      <c r="C78" s="152" t="s">
        <v>650</v>
      </c>
      <c r="D78" s="154" t="s">
        <v>333</v>
      </c>
      <c r="E78" s="155">
        <v>225.56</v>
      </c>
      <c r="F78" s="151" t="s">
        <v>115</v>
      </c>
      <c r="G78" s="152" t="s">
        <v>0</v>
      </c>
      <c r="H78" s="307" t="s">
        <v>294</v>
      </c>
      <c r="I78" s="153" t="s">
        <v>336</v>
      </c>
      <c r="J78" s="341"/>
    </row>
    <row r="79" spans="1:10" s="188" customFormat="1" ht="37.5" customHeight="1" outlineLevel="2">
      <c r="A79" s="232">
        <v>90</v>
      </c>
      <c r="B79" s="196">
        <v>41883</v>
      </c>
      <c r="C79" s="152" t="s">
        <v>686</v>
      </c>
      <c r="D79" s="154" t="s">
        <v>451</v>
      </c>
      <c r="E79" s="155">
        <v>52</v>
      </c>
      <c r="F79" s="151" t="s">
        <v>115</v>
      </c>
      <c r="G79" s="152" t="s">
        <v>0</v>
      </c>
      <c r="H79" s="307" t="s">
        <v>294</v>
      </c>
      <c r="I79" s="153" t="s">
        <v>336</v>
      </c>
      <c r="J79" s="341"/>
    </row>
    <row r="80" spans="1:10" s="188" customFormat="1" ht="37.5" customHeight="1" outlineLevel="2">
      <c r="A80" s="232">
        <v>91</v>
      </c>
      <c r="B80" s="196">
        <v>41887</v>
      </c>
      <c r="C80" s="152" t="s">
        <v>685</v>
      </c>
      <c r="D80" s="154" t="s">
        <v>453</v>
      </c>
      <c r="E80" s="155">
        <v>500</v>
      </c>
      <c r="F80" s="151" t="s">
        <v>115</v>
      </c>
      <c r="G80" s="152" t="s">
        <v>0</v>
      </c>
      <c r="H80" s="307" t="s">
        <v>294</v>
      </c>
      <c r="I80" s="153" t="s">
        <v>336</v>
      </c>
      <c r="J80" s="341"/>
    </row>
    <row r="81" spans="1:10" s="188" customFormat="1" ht="37.5" customHeight="1" outlineLevel="2">
      <c r="A81" s="232">
        <v>99</v>
      </c>
      <c r="B81" s="196">
        <v>41883</v>
      </c>
      <c r="C81" s="152" t="s">
        <v>1001</v>
      </c>
      <c r="D81" s="154" t="s">
        <v>388</v>
      </c>
      <c r="E81" s="155">
        <v>887.89</v>
      </c>
      <c r="F81" s="151" t="s">
        <v>115</v>
      </c>
      <c r="G81" s="152" t="s">
        <v>0</v>
      </c>
      <c r="H81" s="307" t="s">
        <v>294</v>
      </c>
      <c r="I81" s="153" t="s">
        <v>336</v>
      </c>
      <c r="J81" s="341"/>
    </row>
    <row r="82" spans="1:10" s="188" customFormat="1" ht="37.5" customHeight="1" outlineLevel="2">
      <c r="A82" s="232">
        <v>108</v>
      </c>
      <c r="B82" s="339">
        <v>41953</v>
      </c>
      <c r="C82" s="152" t="s">
        <v>944</v>
      </c>
      <c r="D82" s="340" t="s">
        <v>990</v>
      </c>
      <c r="E82" s="155">
        <v>80</v>
      </c>
      <c r="F82" s="151" t="s">
        <v>115</v>
      </c>
      <c r="G82" s="152" t="s">
        <v>0</v>
      </c>
      <c r="H82" s="307" t="s">
        <v>294</v>
      </c>
      <c r="I82" s="153" t="s">
        <v>336</v>
      </c>
      <c r="J82" s="341"/>
    </row>
    <row r="83" spans="1:10" s="188" customFormat="1" ht="37.5" customHeight="1" outlineLevel="2">
      <c r="A83" s="232">
        <v>111</v>
      </c>
      <c r="B83" s="196">
        <v>41974</v>
      </c>
      <c r="C83" s="244" t="s">
        <v>950</v>
      </c>
      <c r="D83" s="601" t="s">
        <v>991</v>
      </c>
      <c r="E83" s="155">
        <v>240</v>
      </c>
      <c r="F83" s="151" t="s">
        <v>115</v>
      </c>
      <c r="G83" s="152" t="s">
        <v>0</v>
      </c>
      <c r="H83" s="307" t="s">
        <v>294</v>
      </c>
      <c r="I83" s="153" t="s">
        <v>336</v>
      </c>
      <c r="J83" s="341"/>
    </row>
    <row r="84" spans="1:10" s="188" customFormat="1" ht="37.5" customHeight="1" outlineLevel="2">
      <c r="A84" s="232">
        <v>117</v>
      </c>
      <c r="B84" s="196">
        <v>42002</v>
      </c>
      <c r="C84" s="152" t="s">
        <v>1013</v>
      </c>
      <c r="D84" s="154" t="s">
        <v>599</v>
      </c>
      <c r="E84" s="155">
        <v>0</v>
      </c>
      <c r="F84" s="151" t="s">
        <v>115</v>
      </c>
      <c r="G84" s="152" t="s">
        <v>0</v>
      </c>
      <c r="H84" s="307" t="s">
        <v>294</v>
      </c>
      <c r="I84" s="153" t="s">
        <v>336</v>
      </c>
      <c r="J84" s="341"/>
    </row>
    <row r="85" spans="1:10" s="188" customFormat="1" ht="37.5" customHeight="1" outlineLevel="2">
      <c r="A85" s="232">
        <v>123</v>
      </c>
      <c r="B85" s="196">
        <v>42002</v>
      </c>
      <c r="C85" s="152" t="s">
        <v>1013</v>
      </c>
      <c r="D85" s="340" t="s">
        <v>333</v>
      </c>
      <c r="E85" s="155">
        <v>957.76</v>
      </c>
      <c r="F85" s="151" t="s">
        <v>115</v>
      </c>
      <c r="G85" s="152" t="s">
        <v>0</v>
      </c>
      <c r="H85" s="307" t="s">
        <v>294</v>
      </c>
      <c r="I85" s="153" t="s">
        <v>336</v>
      </c>
      <c r="J85" s="341"/>
    </row>
    <row r="86" spans="1:10" s="188" customFormat="1" ht="37.5" customHeight="1" outlineLevel="1">
      <c r="A86" s="232"/>
      <c r="B86" s="196"/>
      <c r="C86" s="152"/>
      <c r="D86" s="340"/>
      <c r="E86" s="155">
        <f>SUBTOTAL(9,E63:E85)</f>
        <v>11004.84</v>
      </c>
      <c r="F86" s="609" t="s">
        <v>1028</v>
      </c>
      <c r="G86" s="152"/>
      <c r="H86" s="307"/>
      <c r="I86" s="153"/>
      <c r="J86" s="341"/>
    </row>
    <row r="87" spans="1:10" s="188" customFormat="1" ht="37.5" customHeight="1" outlineLevel="2">
      <c r="A87" s="232">
        <v>3</v>
      </c>
      <c r="B87" s="196">
        <v>41647</v>
      </c>
      <c r="C87" s="337" t="s">
        <v>577</v>
      </c>
      <c r="D87" s="305" t="s">
        <v>363</v>
      </c>
      <c r="E87" s="342">
        <v>115.59</v>
      </c>
      <c r="F87" s="306" t="s">
        <v>116</v>
      </c>
      <c r="G87" s="307" t="s">
        <v>44</v>
      </c>
      <c r="H87" s="307" t="s">
        <v>294</v>
      </c>
      <c r="I87" s="153" t="s">
        <v>336</v>
      </c>
      <c r="J87" s="341"/>
    </row>
    <row r="88" spans="1:10" s="188" customFormat="1" ht="37.5" customHeight="1" outlineLevel="2">
      <c r="A88" s="232">
        <v>5</v>
      </c>
      <c r="B88" s="196">
        <v>41647</v>
      </c>
      <c r="C88" s="337" t="s">
        <v>579</v>
      </c>
      <c r="D88" s="305" t="s">
        <v>284</v>
      </c>
      <c r="E88" s="342">
        <v>231.18</v>
      </c>
      <c r="F88" s="306" t="s">
        <v>116</v>
      </c>
      <c r="G88" s="307" t="s">
        <v>44</v>
      </c>
      <c r="H88" s="307" t="s">
        <v>294</v>
      </c>
      <c r="I88" s="153" t="s">
        <v>336</v>
      </c>
      <c r="J88" s="341"/>
    </row>
    <row r="89" spans="1:10" s="188" customFormat="1" ht="37.5" customHeight="1" outlineLevel="2">
      <c r="A89" s="232">
        <v>9</v>
      </c>
      <c r="B89" s="196">
        <v>41647</v>
      </c>
      <c r="C89" s="152" t="s">
        <v>577</v>
      </c>
      <c r="D89" s="154" t="s">
        <v>333</v>
      </c>
      <c r="E89" s="155">
        <v>93.32</v>
      </c>
      <c r="F89" s="151" t="s">
        <v>116</v>
      </c>
      <c r="G89" s="152" t="s">
        <v>44</v>
      </c>
      <c r="H89" s="307" t="s">
        <v>294</v>
      </c>
      <c r="I89" s="153" t="s">
        <v>336</v>
      </c>
      <c r="J89" s="341"/>
    </row>
    <row r="90" spans="1:10" s="188" customFormat="1" ht="37.5" customHeight="1" outlineLevel="2">
      <c r="A90" s="232">
        <v>11</v>
      </c>
      <c r="B90" s="196">
        <v>41647</v>
      </c>
      <c r="C90" s="152" t="s">
        <v>597</v>
      </c>
      <c r="D90" s="154" t="s">
        <v>284</v>
      </c>
      <c r="E90" s="155">
        <v>186.64</v>
      </c>
      <c r="F90" s="306" t="s">
        <v>116</v>
      </c>
      <c r="G90" s="307" t="s">
        <v>44</v>
      </c>
      <c r="H90" s="307" t="s">
        <v>294</v>
      </c>
      <c r="I90" s="153" t="s">
        <v>336</v>
      </c>
      <c r="J90" s="341"/>
    </row>
    <row r="91" spans="1:10" s="188" customFormat="1" ht="37.5" customHeight="1" outlineLevel="2">
      <c r="A91" s="232">
        <v>13</v>
      </c>
      <c r="B91" s="196">
        <v>41647</v>
      </c>
      <c r="C91" s="244" t="s">
        <v>577</v>
      </c>
      <c r="D91" s="228" t="s">
        <v>599</v>
      </c>
      <c r="E91" s="155">
        <v>41.95</v>
      </c>
      <c r="F91" s="306" t="s">
        <v>116</v>
      </c>
      <c r="G91" s="307" t="s">
        <v>44</v>
      </c>
      <c r="H91" s="307" t="s">
        <v>294</v>
      </c>
      <c r="I91" s="153" t="s">
        <v>336</v>
      </c>
      <c r="J91" s="341"/>
    </row>
    <row r="92" spans="1:10" s="188" customFormat="1" ht="37.5" customHeight="1" outlineLevel="2">
      <c r="A92" s="232">
        <v>15</v>
      </c>
      <c r="B92" s="196">
        <v>41647</v>
      </c>
      <c r="C92" s="244" t="s">
        <v>600</v>
      </c>
      <c r="D92" s="228" t="s">
        <v>284</v>
      </c>
      <c r="E92" s="155">
        <v>83.9</v>
      </c>
      <c r="F92" s="306" t="s">
        <v>116</v>
      </c>
      <c r="G92" s="307" t="s">
        <v>44</v>
      </c>
      <c r="H92" s="307" t="s">
        <v>294</v>
      </c>
      <c r="I92" s="153" t="s">
        <v>336</v>
      </c>
      <c r="J92" s="341"/>
    </row>
    <row r="93" spans="1:10" s="188" customFormat="1" ht="37.5" customHeight="1" outlineLevel="2">
      <c r="A93" s="232">
        <v>20</v>
      </c>
      <c r="B93" s="196">
        <v>41673</v>
      </c>
      <c r="C93" s="244" t="s">
        <v>1036</v>
      </c>
      <c r="D93" s="228" t="s">
        <v>364</v>
      </c>
      <c r="E93" s="155">
        <v>63.35</v>
      </c>
      <c r="F93" s="151" t="s">
        <v>116</v>
      </c>
      <c r="G93" s="152" t="s">
        <v>44</v>
      </c>
      <c r="H93" s="307" t="s">
        <v>294</v>
      </c>
      <c r="I93" s="153" t="s">
        <v>336</v>
      </c>
      <c r="J93" s="341"/>
    </row>
    <row r="94" spans="1:10" s="188" customFormat="1" ht="37.5" customHeight="1" outlineLevel="2">
      <c r="A94" s="232">
        <v>22</v>
      </c>
      <c r="B94" s="196">
        <v>41673</v>
      </c>
      <c r="C94" s="152" t="s">
        <v>603</v>
      </c>
      <c r="D94" s="308" t="s">
        <v>284</v>
      </c>
      <c r="E94" s="360">
        <v>126.7</v>
      </c>
      <c r="F94" s="306" t="s">
        <v>116</v>
      </c>
      <c r="G94" s="307" t="s">
        <v>44</v>
      </c>
      <c r="H94" s="307" t="s">
        <v>294</v>
      </c>
      <c r="I94" s="153" t="s">
        <v>336</v>
      </c>
      <c r="J94" s="341"/>
    </row>
    <row r="95" spans="1:10" s="188" customFormat="1" ht="37.5" customHeight="1" outlineLevel="2">
      <c r="A95" s="232">
        <v>33</v>
      </c>
      <c r="B95" s="196">
        <v>41708</v>
      </c>
      <c r="C95" s="152" t="s">
        <v>611</v>
      </c>
      <c r="D95" s="154" t="s">
        <v>333</v>
      </c>
      <c r="E95" s="155">
        <v>97.71</v>
      </c>
      <c r="F95" s="151" t="s">
        <v>116</v>
      </c>
      <c r="G95" s="152" t="s">
        <v>44</v>
      </c>
      <c r="H95" s="307" t="s">
        <v>294</v>
      </c>
      <c r="I95" s="153" t="s">
        <v>336</v>
      </c>
      <c r="J95" s="341"/>
    </row>
    <row r="96" spans="1:10" s="51" customFormat="1" ht="37.5" customHeight="1" outlineLevel="2">
      <c r="A96" s="232">
        <v>35</v>
      </c>
      <c r="B96" s="196">
        <v>41708</v>
      </c>
      <c r="C96" s="312" t="s">
        <v>607</v>
      </c>
      <c r="D96" s="308" t="s">
        <v>284</v>
      </c>
      <c r="E96" s="360">
        <v>195.42</v>
      </c>
      <c r="F96" s="151" t="s">
        <v>116</v>
      </c>
      <c r="G96" s="152" t="s">
        <v>44</v>
      </c>
      <c r="H96" s="307" t="s">
        <v>294</v>
      </c>
      <c r="I96" s="153" t="s">
        <v>336</v>
      </c>
      <c r="J96" s="229"/>
    </row>
    <row r="97" spans="1:10" s="51" customFormat="1" ht="37.5" customHeight="1" outlineLevel="2">
      <c r="A97" s="232">
        <v>44</v>
      </c>
      <c r="B97" s="196">
        <v>41733</v>
      </c>
      <c r="C97" s="152" t="s">
        <v>1033</v>
      </c>
      <c r="D97" s="305" t="s">
        <v>364</v>
      </c>
      <c r="E97" s="342">
        <v>67.76</v>
      </c>
      <c r="F97" s="306" t="s">
        <v>116</v>
      </c>
      <c r="G97" s="307" t="s">
        <v>44</v>
      </c>
      <c r="H97" s="307" t="s">
        <v>294</v>
      </c>
      <c r="I97" s="153" t="s">
        <v>336</v>
      </c>
      <c r="J97" s="229"/>
    </row>
    <row r="98" spans="1:10" s="51" customFormat="1" ht="37.5" customHeight="1" outlineLevel="2">
      <c r="A98" s="232">
        <v>47</v>
      </c>
      <c r="B98" s="196">
        <v>41733</v>
      </c>
      <c r="C98" s="154" t="s">
        <v>614</v>
      </c>
      <c r="D98" s="305" t="s">
        <v>284</v>
      </c>
      <c r="E98" s="342">
        <v>135.52</v>
      </c>
      <c r="F98" s="151" t="s">
        <v>116</v>
      </c>
      <c r="G98" s="152" t="s">
        <v>44</v>
      </c>
      <c r="H98" s="307" t="s">
        <v>294</v>
      </c>
      <c r="I98" s="153" t="s">
        <v>336</v>
      </c>
      <c r="J98" s="229"/>
    </row>
    <row r="99" spans="1:10" s="51" customFormat="1" ht="37.5" customHeight="1" outlineLevel="2">
      <c r="A99" s="232">
        <v>56</v>
      </c>
      <c r="B99" s="196">
        <v>41764</v>
      </c>
      <c r="C99" s="152" t="s">
        <v>633</v>
      </c>
      <c r="D99" s="154" t="s">
        <v>333</v>
      </c>
      <c r="E99" s="155">
        <v>97.9</v>
      </c>
      <c r="F99" s="151" t="s">
        <v>116</v>
      </c>
      <c r="G99" s="152" t="s">
        <v>44</v>
      </c>
      <c r="H99" s="307" t="s">
        <v>294</v>
      </c>
      <c r="I99" s="153" t="s">
        <v>336</v>
      </c>
      <c r="J99" s="229"/>
    </row>
    <row r="100" spans="1:10" s="51" customFormat="1" ht="37.5" customHeight="1" outlineLevel="2">
      <c r="A100" s="232">
        <v>58</v>
      </c>
      <c r="B100" s="196">
        <v>41764</v>
      </c>
      <c r="C100" s="314" t="s">
        <v>629</v>
      </c>
      <c r="D100" s="314" t="s">
        <v>284</v>
      </c>
      <c r="E100" s="351">
        <v>195.8</v>
      </c>
      <c r="F100" s="151" t="s">
        <v>116</v>
      </c>
      <c r="G100" s="152" t="s">
        <v>44</v>
      </c>
      <c r="H100" s="307" t="s">
        <v>294</v>
      </c>
      <c r="I100" s="153" t="s">
        <v>336</v>
      </c>
      <c r="J100" s="229"/>
    </row>
    <row r="101" spans="1:10" s="51" customFormat="1" ht="37.5" customHeight="1" outlineLevel="2">
      <c r="A101" s="232">
        <v>70</v>
      </c>
      <c r="B101" s="196">
        <v>41827</v>
      </c>
      <c r="C101" s="152" t="s">
        <v>641</v>
      </c>
      <c r="D101" s="154" t="s">
        <v>333</v>
      </c>
      <c r="E101" s="155">
        <v>98.09</v>
      </c>
      <c r="F101" s="151" t="s">
        <v>116</v>
      </c>
      <c r="G101" s="152" t="s">
        <v>44</v>
      </c>
      <c r="H101" s="307" t="s">
        <v>294</v>
      </c>
      <c r="I101" s="153" t="s">
        <v>336</v>
      </c>
      <c r="J101" s="229"/>
    </row>
    <row r="102" spans="1:10" s="51" customFormat="1" ht="37.5" customHeight="1" outlineLevel="2">
      <c r="A102" s="232">
        <v>72</v>
      </c>
      <c r="B102" s="196">
        <v>41827</v>
      </c>
      <c r="C102" s="152" t="s">
        <v>637</v>
      </c>
      <c r="D102" s="154" t="s">
        <v>284</v>
      </c>
      <c r="E102" s="155">
        <v>196.18</v>
      </c>
      <c r="F102" s="151" t="s">
        <v>116</v>
      </c>
      <c r="G102" s="152" t="s">
        <v>44</v>
      </c>
      <c r="H102" s="307" t="s">
        <v>294</v>
      </c>
      <c r="I102" s="153" t="s">
        <v>336</v>
      </c>
      <c r="J102" s="229"/>
    </row>
    <row r="103" spans="1:10" s="51" customFormat="1" ht="37.5" customHeight="1" outlineLevel="2">
      <c r="A103" s="232">
        <v>76</v>
      </c>
      <c r="B103" s="196">
        <v>41827</v>
      </c>
      <c r="C103" s="152" t="s">
        <v>641</v>
      </c>
      <c r="D103" s="154" t="s">
        <v>599</v>
      </c>
      <c r="E103" s="155">
        <v>43.64</v>
      </c>
      <c r="F103" s="151" t="s">
        <v>116</v>
      </c>
      <c r="G103" s="152" t="s">
        <v>44</v>
      </c>
      <c r="H103" s="307" t="s">
        <v>294</v>
      </c>
      <c r="I103" s="153" t="s">
        <v>336</v>
      </c>
      <c r="J103" s="229"/>
    </row>
    <row r="104" spans="1:10" s="51" customFormat="1" ht="37.5" customHeight="1" outlineLevel="2">
      <c r="A104" s="232">
        <v>78</v>
      </c>
      <c r="B104" s="196">
        <v>41827</v>
      </c>
      <c r="C104" s="152" t="s">
        <v>643</v>
      </c>
      <c r="D104" s="154" t="s">
        <v>284</v>
      </c>
      <c r="E104" s="155">
        <v>87.28</v>
      </c>
      <c r="F104" s="151" t="s">
        <v>116</v>
      </c>
      <c r="G104" s="152" t="s">
        <v>44</v>
      </c>
      <c r="H104" s="307" t="s">
        <v>294</v>
      </c>
      <c r="I104" s="153" t="s">
        <v>336</v>
      </c>
      <c r="J104" s="229"/>
    </row>
    <row r="105" spans="1:10" s="51" customFormat="1" ht="37.5" customHeight="1" outlineLevel="2">
      <c r="A105" s="232">
        <v>86</v>
      </c>
      <c r="B105" s="196">
        <v>41883</v>
      </c>
      <c r="C105" s="152" t="s">
        <v>651</v>
      </c>
      <c r="D105" s="154" t="s">
        <v>333</v>
      </c>
      <c r="E105" s="155">
        <v>98.38</v>
      </c>
      <c r="F105" s="151" t="s">
        <v>116</v>
      </c>
      <c r="G105" s="152" t="s">
        <v>44</v>
      </c>
      <c r="H105" s="307" t="s">
        <v>294</v>
      </c>
      <c r="I105" s="153" t="s">
        <v>336</v>
      </c>
      <c r="J105" s="229"/>
    </row>
    <row r="106" spans="1:10" s="51" customFormat="1" ht="37.5" customHeight="1" outlineLevel="2">
      <c r="A106" s="232">
        <v>88</v>
      </c>
      <c r="B106" s="196">
        <v>41883</v>
      </c>
      <c r="C106" s="152" t="s">
        <v>647</v>
      </c>
      <c r="D106" s="154" t="s">
        <v>284</v>
      </c>
      <c r="E106" s="155">
        <v>196.76</v>
      </c>
      <c r="F106" s="151" t="s">
        <v>116</v>
      </c>
      <c r="G106" s="152" t="s">
        <v>44</v>
      </c>
      <c r="H106" s="307" t="s">
        <v>294</v>
      </c>
      <c r="I106" s="153" t="s">
        <v>336</v>
      </c>
      <c r="J106" s="229"/>
    </row>
    <row r="107" spans="1:10" s="188" customFormat="1" ht="37.5" customHeight="1" outlineLevel="2">
      <c r="A107" s="232">
        <v>100</v>
      </c>
      <c r="B107" s="196">
        <v>41883</v>
      </c>
      <c r="C107" s="152" t="s">
        <v>1002</v>
      </c>
      <c r="D107" s="242" t="s">
        <v>388</v>
      </c>
      <c r="E107" s="155">
        <v>380.41</v>
      </c>
      <c r="F107" s="151" t="s">
        <v>116</v>
      </c>
      <c r="G107" s="152" t="s">
        <v>44</v>
      </c>
      <c r="H107" s="307" t="s">
        <v>294</v>
      </c>
      <c r="I107" s="153" t="s">
        <v>336</v>
      </c>
      <c r="J107" s="341"/>
    </row>
    <row r="108" spans="1:10" s="188" customFormat="1" ht="37.5" customHeight="1" outlineLevel="2">
      <c r="A108" s="232">
        <v>102</v>
      </c>
      <c r="B108" s="196">
        <v>41883</v>
      </c>
      <c r="C108" s="152" t="s">
        <v>1004</v>
      </c>
      <c r="D108" s="242" t="s">
        <v>284</v>
      </c>
      <c r="E108" s="155">
        <v>760.82</v>
      </c>
      <c r="F108" s="151" t="s">
        <v>116</v>
      </c>
      <c r="G108" s="152" t="s">
        <v>44</v>
      </c>
      <c r="H108" s="307" t="s">
        <v>294</v>
      </c>
      <c r="I108" s="153" t="s">
        <v>336</v>
      </c>
      <c r="J108" s="341"/>
    </row>
    <row r="109" spans="1:10" s="188" customFormat="1" ht="37.5" customHeight="1" outlineLevel="2">
      <c r="A109" s="232">
        <v>118</v>
      </c>
      <c r="B109" s="196">
        <v>42002</v>
      </c>
      <c r="C109" s="152" t="s">
        <v>1014</v>
      </c>
      <c r="D109" s="242" t="s">
        <v>599</v>
      </c>
      <c r="E109" s="155">
        <v>10.72</v>
      </c>
      <c r="F109" s="151" t="s">
        <v>116</v>
      </c>
      <c r="G109" s="152" t="s">
        <v>44</v>
      </c>
      <c r="H109" s="307" t="s">
        <v>294</v>
      </c>
      <c r="I109" s="153" t="s">
        <v>336</v>
      </c>
      <c r="J109" s="341"/>
    </row>
    <row r="110" spans="1:10" s="188" customFormat="1" ht="37.5" customHeight="1" outlineLevel="2">
      <c r="A110" s="232">
        <v>120</v>
      </c>
      <c r="B110" s="196">
        <v>42002</v>
      </c>
      <c r="C110" s="152" t="s">
        <v>1010</v>
      </c>
      <c r="D110" s="242" t="s">
        <v>284</v>
      </c>
      <c r="E110" s="155">
        <v>21.44</v>
      </c>
      <c r="F110" s="151" t="s">
        <v>116</v>
      </c>
      <c r="G110" s="152" t="s">
        <v>44</v>
      </c>
      <c r="H110" s="307" t="s">
        <v>294</v>
      </c>
      <c r="I110" s="153" t="s">
        <v>336</v>
      </c>
      <c r="J110" s="341"/>
    </row>
    <row r="111" spans="1:10" s="188" customFormat="1" ht="37.5" customHeight="1" outlineLevel="2">
      <c r="A111" s="232">
        <v>124</v>
      </c>
      <c r="B111" s="196">
        <v>42002</v>
      </c>
      <c r="C111" s="152" t="s">
        <v>1014</v>
      </c>
      <c r="D111" s="340" t="s">
        <v>333</v>
      </c>
      <c r="E111" s="155">
        <v>408.45</v>
      </c>
      <c r="F111" s="151" t="s">
        <v>116</v>
      </c>
      <c r="G111" s="152" t="s">
        <v>44</v>
      </c>
      <c r="H111" s="307" t="s">
        <v>294</v>
      </c>
      <c r="I111" s="153" t="s">
        <v>336</v>
      </c>
      <c r="J111" s="341"/>
    </row>
    <row r="112" spans="1:10" s="188" customFormat="1" ht="37.5" customHeight="1" outlineLevel="2">
      <c r="A112" s="232">
        <v>126</v>
      </c>
      <c r="B112" s="196">
        <v>42002</v>
      </c>
      <c r="C112" s="152" t="s">
        <v>1020</v>
      </c>
      <c r="D112" s="308" t="s">
        <v>284</v>
      </c>
      <c r="E112" s="155">
        <v>816.9</v>
      </c>
      <c r="F112" s="151" t="s">
        <v>116</v>
      </c>
      <c r="G112" s="152" t="s">
        <v>44</v>
      </c>
      <c r="H112" s="307" t="s">
        <v>294</v>
      </c>
      <c r="I112" s="153" t="s">
        <v>336</v>
      </c>
      <c r="J112" s="341"/>
    </row>
    <row r="113" spans="1:10" s="188" customFormat="1" ht="37.5" customHeight="1" outlineLevel="1">
      <c r="A113" s="232"/>
      <c r="B113" s="196"/>
      <c r="C113" s="152"/>
      <c r="D113" s="308"/>
      <c r="E113" s="155">
        <f>SUBTOTAL(9,E87:E112)</f>
        <v>4851.81</v>
      </c>
      <c r="F113" s="609" t="s">
        <v>1029</v>
      </c>
      <c r="G113" s="152"/>
      <c r="H113" s="307"/>
      <c r="I113" s="153"/>
      <c r="J113" s="341"/>
    </row>
    <row r="114" spans="1:10" s="51" customFormat="1" ht="37.5" customHeight="1" outlineLevel="2">
      <c r="A114" s="232">
        <v>4</v>
      </c>
      <c r="B114" s="196">
        <v>41647</v>
      </c>
      <c r="C114" s="337" t="s">
        <v>578</v>
      </c>
      <c r="D114" s="305" t="s">
        <v>363</v>
      </c>
      <c r="E114" s="342">
        <v>1.95</v>
      </c>
      <c r="F114" s="306" t="s">
        <v>117</v>
      </c>
      <c r="G114" s="307" t="s">
        <v>171</v>
      </c>
      <c r="H114" s="307" t="s">
        <v>294</v>
      </c>
      <c r="I114" s="153" t="s">
        <v>336</v>
      </c>
      <c r="J114" s="229"/>
    </row>
    <row r="115" spans="1:10" s="51" customFormat="1" ht="37.5" customHeight="1" outlineLevel="2">
      <c r="A115" s="232">
        <v>6</v>
      </c>
      <c r="B115" s="196">
        <v>41647</v>
      </c>
      <c r="C115" s="152" t="s">
        <v>580</v>
      </c>
      <c r="D115" s="308" t="s">
        <v>284</v>
      </c>
      <c r="E115" s="360">
        <v>3.9</v>
      </c>
      <c r="F115" s="306" t="s">
        <v>117</v>
      </c>
      <c r="G115" s="307" t="s">
        <v>171</v>
      </c>
      <c r="H115" s="307" t="s">
        <v>294</v>
      </c>
      <c r="I115" s="153" t="s">
        <v>336</v>
      </c>
      <c r="J115" s="229"/>
    </row>
    <row r="116" spans="1:10" s="51" customFormat="1" ht="37.5" customHeight="1" outlineLevel="2">
      <c r="A116" s="232">
        <v>10</v>
      </c>
      <c r="B116" s="196">
        <v>41647</v>
      </c>
      <c r="C116" s="152" t="s">
        <v>578</v>
      </c>
      <c r="D116" s="154" t="s">
        <v>333</v>
      </c>
      <c r="E116" s="155">
        <v>8.13</v>
      </c>
      <c r="F116" s="151" t="s">
        <v>117</v>
      </c>
      <c r="G116" s="152" t="s">
        <v>171</v>
      </c>
      <c r="H116" s="307" t="s">
        <v>294</v>
      </c>
      <c r="I116" s="153" t="s">
        <v>336</v>
      </c>
      <c r="J116" s="229"/>
    </row>
    <row r="117" spans="1:10" s="51" customFormat="1" ht="37.5" customHeight="1" outlineLevel="2">
      <c r="A117" s="232">
        <v>12</v>
      </c>
      <c r="B117" s="196">
        <v>41647</v>
      </c>
      <c r="C117" s="152" t="s">
        <v>598</v>
      </c>
      <c r="D117" s="154" t="s">
        <v>284</v>
      </c>
      <c r="E117" s="155">
        <v>16.26</v>
      </c>
      <c r="F117" s="306" t="s">
        <v>117</v>
      </c>
      <c r="G117" s="307" t="s">
        <v>171</v>
      </c>
      <c r="H117" s="307" t="s">
        <v>294</v>
      </c>
      <c r="I117" s="153" t="s">
        <v>336</v>
      </c>
      <c r="J117" s="229"/>
    </row>
    <row r="118" spans="1:11" s="188" customFormat="1" ht="37.5" customHeight="1" outlineLevel="2">
      <c r="A118" s="232">
        <v>14</v>
      </c>
      <c r="B118" s="596">
        <v>41647</v>
      </c>
      <c r="C118" s="241" t="s">
        <v>578</v>
      </c>
      <c r="D118" s="242" t="s">
        <v>599</v>
      </c>
      <c r="E118" s="155">
        <v>12.38</v>
      </c>
      <c r="F118" s="306" t="s">
        <v>117</v>
      </c>
      <c r="G118" s="307" t="s">
        <v>171</v>
      </c>
      <c r="H118" s="307" t="s">
        <v>294</v>
      </c>
      <c r="I118" s="153" t="s">
        <v>336</v>
      </c>
      <c r="J118" s="240"/>
      <c r="K118" s="197"/>
    </row>
    <row r="119" spans="1:10" s="51" customFormat="1" ht="37.5" customHeight="1" outlineLevel="2">
      <c r="A119" s="232">
        <v>16</v>
      </c>
      <c r="B119" s="196">
        <v>41647</v>
      </c>
      <c r="C119" s="152" t="s">
        <v>601</v>
      </c>
      <c r="D119" s="154" t="s">
        <v>284</v>
      </c>
      <c r="E119" s="155">
        <v>24.76</v>
      </c>
      <c r="F119" s="306" t="s">
        <v>117</v>
      </c>
      <c r="G119" s="307" t="s">
        <v>171</v>
      </c>
      <c r="H119" s="307" t="s">
        <v>294</v>
      </c>
      <c r="I119" s="153" t="s">
        <v>336</v>
      </c>
      <c r="J119" s="229"/>
    </row>
    <row r="120" spans="1:10" s="51" customFormat="1" ht="37.5" customHeight="1" outlineLevel="2">
      <c r="A120" s="232">
        <v>21</v>
      </c>
      <c r="B120" s="196">
        <v>41673</v>
      </c>
      <c r="C120" s="152" t="s">
        <v>1037</v>
      </c>
      <c r="D120" s="154" t="s">
        <v>364</v>
      </c>
      <c r="E120" s="155">
        <v>2.06</v>
      </c>
      <c r="F120" s="151" t="s">
        <v>117</v>
      </c>
      <c r="G120" s="152" t="s">
        <v>171</v>
      </c>
      <c r="H120" s="307" t="s">
        <v>294</v>
      </c>
      <c r="I120" s="153" t="s">
        <v>336</v>
      </c>
      <c r="J120" s="229"/>
    </row>
    <row r="121" spans="1:11" s="188" customFormat="1" ht="37.5" customHeight="1" outlineLevel="2">
      <c r="A121" s="232">
        <v>23</v>
      </c>
      <c r="B121" s="196">
        <v>41673</v>
      </c>
      <c r="C121" s="599" t="s">
        <v>604</v>
      </c>
      <c r="D121" s="602" t="s">
        <v>284</v>
      </c>
      <c r="E121" s="603">
        <v>4.12</v>
      </c>
      <c r="F121" s="306" t="s">
        <v>117</v>
      </c>
      <c r="G121" s="307" t="s">
        <v>171</v>
      </c>
      <c r="H121" s="307" t="s">
        <v>294</v>
      </c>
      <c r="I121" s="153" t="s">
        <v>336</v>
      </c>
      <c r="J121" s="240"/>
      <c r="K121" s="197"/>
    </row>
    <row r="122" spans="1:10" s="51" customFormat="1" ht="37.5" customHeight="1" outlineLevel="2">
      <c r="A122" s="232">
        <v>34</v>
      </c>
      <c r="B122" s="196">
        <v>41708</v>
      </c>
      <c r="C122" s="152" t="s">
        <v>612</v>
      </c>
      <c r="D122" s="154" t="s">
        <v>333</v>
      </c>
      <c r="E122" s="155">
        <v>4.13</v>
      </c>
      <c r="F122" s="151" t="s">
        <v>117</v>
      </c>
      <c r="G122" s="152" t="s">
        <v>171</v>
      </c>
      <c r="H122" s="307" t="s">
        <v>294</v>
      </c>
      <c r="I122" s="153" t="s">
        <v>336</v>
      </c>
      <c r="J122" s="229"/>
    </row>
    <row r="123" spans="1:10" s="51" customFormat="1" ht="37.5" customHeight="1" outlineLevel="2">
      <c r="A123" s="232">
        <v>36</v>
      </c>
      <c r="B123" s="196">
        <v>41708</v>
      </c>
      <c r="C123" s="312" t="s">
        <v>608</v>
      </c>
      <c r="D123" s="308" t="s">
        <v>284</v>
      </c>
      <c r="E123" s="360">
        <v>8.26</v>
      </c>
      <c r="F123" s="151" t="s">
        <v>117</v>
      </c>
      <c r="G123" s="152" t="s">
        <v>171</v>
      </c>
      <c r="H123" s="307" t="s">
        <v>294</v>
      </c>
      <c r="I123" s="153" t="s">
        <v>336</v>
      </c>
      <c r="J123" s="229"/>
    </row>
    <row r="124" spans="1:10" s="51" customFormat="1" ht="37.5" customHeight="1" outlineLevel="2">
      <c r="A124" s="232">
        <v>45</v>
      </c>
      <c r="B124" s="196">
        <v>41733</v>
      </c>
      <c r="C124" s="152" t="s">
        <v>1034</v>
      </c>
      <c r="D124" s="305" t="s">
        <v>364</v>
      </c>
      <c r="E124" s="342">
        <v>4.13</v>
      </c>
      <c r="F124" s="306" t="s">
        <v>117</v>
      </c>
      <c r="G124" s="307" t="s">
        <v>171</v>
      </c>
      <c r="H124" s="307" t="s">
        <v>294</v>
      </c>
      <c r="I124" s="153" t="s">
        <v>336</v>
      </c>
      <c r="J124" s="229"/>
    </row>
    <row r="125" spans="1:10" s="51" customFormat="1" ht="37.5" customHeight="1" outlineLevel="2">
      <c r="A125" s="232">
        <v>48</v>
      </c>
      <c r="B125" s="196">
        <v>41733</v>
      </c>
      <c r="C125" s="154" t="s">
        <v>615</v>
      </c>
      <c r="D125" s="305" t="s">
        <v>284</v>
      </c>
      <c r="E125" s="342">
        <v>8.26</v>
      </c>
      <c r="F125" s="151" t="s">
        <v>117</v>
      </c>
      <c r="G125" s="152" t="s">
        <v>171</v>
      </c>
      <c r="H125" s="307" t="s">
        <v>294</v>
      </c>
      <c r="I125" s="153" t="s">
        <v>336</v>
      </c>
      <c r="J125" s="229"/>
    </row>
    <row r="126" spans="1:10" s="188" customFormat="1" ht="37.5" customHeight="1" outlineLevel="2">
      <c r="A126" s="232">
        <v>57</v>
      </c>
      <c r="B126" s="196">
        <v>41764</v>
      </c>
      <c r="C126" s="152" t="s">
        <v>634</v>
      </c>
      <c r="D126" s="154" t="s">
        <v>333</v>
      </c>
      <c r="E126" s="155">
        <v>4.13</v>
      </c>
      <c r="F126" s="151" t="s">
        <v>117</v>
      </c>
      <c r="G126" s="152" t="s">
        <v>171</v>
      </c>
      <c r="H126" s="307" t="s">
        <v>294</v>
      </c>
      <c r="I126" s="153" t="s">
        <v>336</v>
      </c>
      <c r="J126" s="341"/>
    </row>
    <row r="127" spans="1:10" s="188" customFormat="1" ht="37.5" customHeight="1" outlineLevel="2">
      <c r="A127" s="232">
        <v>59</v>
      </c>
      <c r="B127" s="196">
        <v>41764</v>
      </c>
      <c r="C127" s="314" t="s">
        <v>630</v>
      </c>
      <c r="D127" s="597" t="s">
        <v>284</v>
      </c>
      <c r="E127" s="351">
        <v>8.26</v>
      </c>
      <c r="F127" s="151" t="s">
        <v>117</v>
      </c>
      <c r="G127" s="152" t="s">
        <v>171</v>
      </c>
      <c r="H127" s="307" t="s">
        <v>294</v>
      </c>
      <c r="I127" s="153" t="s">
        <v>336</v>
      </c>
      <c r="J127" s="341"/>
    </row>
    <row r="128" spans="1:10" s="188" customFormat="1" ht="37.5" customHeight="1" outlineLevel="2">
      <c r="A128" s="232">
        <v>71</v>
      </c>
      <c r="B128" s="196">
        <v>41827</v>
      </c>
      <c r="C128" s="152" t="s">
        <v>642</v>
      </c>
      <c r="D128" s="154" t="s">
        <v>333</v>
      </c>
      <c r="E128" s="155">
        <v>4.13</v>
      </c>
      <c r="F128" s="151" t="s">
        <v>117</v>
      </c>
      <c r="G128" s="152" t="s">
        <v>171</v>
      </c>
      <c r="H128" s="307" t="s">
        <v>294</v>
      </c>
      <c r="I128" s="153" t="s">
        <v>336</v>
      </c>
      <c r="J128" s="341"/>
    </row>
    <row r="129" spans="1:10" s="188" customFormat="1" ht="37.5" customHeight="1" outlineLevel="2">
      <c r="A129" s="232">
        <v>73</v>
      </c>
      <c r="B129" s="196">
        <v>41827</v>
      </c>
      <c r="C129" s="152" t="s">
        <v>638</v>
      </c>
      <c r="D129" s="154" t="s">
        <v>284</v>
      </c>
      <c r="E129" s="155">
        <v>8.26</v>
      </c>
      <c r="F129" s="151" t="s">
        <v>117</v>
      </c>
      <c r="G129" s="152" t="s">
        <v>171</v>
      </c>
      <c r="H129" s="307" t="s">
        <v>294</v>
      </c>
      <c r="I129" s="153" t="s">
        <v>336</v>
      </c>
      <c r="J129" s="341"/>
    </row>
    <row r="130" spans="1:10" s="188" customFormat="1" ht="37.5" customHeight="1" outlineLevel="2">
      <c r="A130" s="232">
        <v>77</v>
      </c>
      <c r="B130" s="196">
        <v>41827</v>
      </c>
      <c r="C130" s="152" t="s">
        <v>642</v>
      </c>
      <c r="D130" s="154" t="s">
        <v>599</v>
      </c>
      <c r="E130" s="155">
        <v>12.38</v>
      </c>
      <c r="F130" s="151" t="s">
        <v>117</v>
      </c>
      <c r="G130" s="152" t="s">
        <v>171</v>
      </c>
      <c r="H130" s="307" t="s">
        <v>294</v>
      </c>
      <c r="I130" s="153" t="s">
        <v>336</v>
      </c>
      <c r="J130" s="341"/>
    </row>
    <row r="131" spans="1:10" s="188" customFormat="1" ht="37.5" customHeight="1" outlineLevel="2">
      <c r="A131" s="232">
        <v>79</v>
      </c>
      <c r="B131" s="196">
        <v>41827</v>
      </c>
      <c r="C131" s="244" t="s">
        <v>644</v>
      </c>
      <c r="D131" s="154" t="s">
        <v>284</v>
      </c>
      <c r="E131" s="155">
        <v>24.76</v>
      </c>
      <c r="F131" s="151" t="s">
        <v>117</v>
      </c>
      <c r="G131" s="152" t="s">
        <v>171</v>
      </c>
      <c r="H131" s="307" t="s">
        <v>294</v>
      </c>
      <c r="I131" s="153" t="s">
        <v>336</v>
      </c>
      <c r="J131" s="341"/>
    </row>
    <row r="132" spans="1:10" s="188" customFormat="1" ht="37.5" customHeight="1" outlineLevel="2">
      <c r="A132" s="232">
        <v>87</v>
      </c>
      <c r="B132" s="196">
        <v>41883</v>
      </c>
      <c r="C132" s="152" t="s">
        <v>652</v>
      </c>
      <c r="D132" s="242" t="s">
        <v>333</v>
      </c>
      <c r="E132" s="155">
        <v>4.17</v>
      </c>
      <c r="F132" s="151" t="s">
        <v>117</v>
      </c>
      <c r="G132" s="152" t="s">
        <v>171</v>
      </c>
      <c r="H132" s="307" t="s">
        <v>294</v>
      </c>
      <c r="I132" s="153" t="s">
        <v>336</v>
      </c>
      <c r="J132" s="341"/>
    </row>
    <row r="133" spans="1:10" s="188" customFormat="1" ht="37.5" customHeight="1" outlineLevel="2">
      <c r="A133" s="232">
        <v>89</v>
      </c>
      <c r="B133" s="196">
        <v>41883</v>
      </c>
      <c r="C133" s="152" t="s">
        <v>648</v>
      </c>
      <c r="D133" s="242" t="s">
        <v>284</v>
      </c>
      <c r="E133" s="155">
        <v>8.34</v>
      </c>
      <c r="F133" s="151" t="s">
        <v>117</v>
      </c>
      <c r="G133" s="152" t="s">
        <v>171</v>
      </c>
      <c r="H133" s="307" t="s">
        <v>294</v>
      </c>
      <c r="I133" s="153" t="s">
        <v>336</v>
      </c>
      <c r="J133" s="341"/>
    </row>
    <row r="134" spans="1:10" s="188" customFormat="1" ht="37.5" customHeight="1" outlineLevel="2">
      <c r="A134" s="232">
        <v>101</v>
      </c>
      <c r="B134" s="196">
        <v>41883</v>
      </c>
      <c r="C134" s="152" t="s">
        <v>1003</v>
      </c>
      <c r="D134" s="242" t="s">
        <v>388</v>
      </c>
      <c r="E134" s="155">
        <v>6.16</v>
      </c>
      <c r="F134" s="151" t="s">
        <v>117</v>
      </c>
      <c r="G134" s="152" t="s">
        <v>171</v>
      </c>
      <c r="H134" s="307" t="s">
        <v>294</v>
      </c>
      <c r="I134" s="153" t="s">
        <v>336</v>
      </c>
      <c r="J134" s="341"/>
    </row>
    <row r="135" spans="1:10" s="188" customFormat="1" ht="37.5" customHeight="1" outlineLevel="2">
      <c r="A135" s="232">
        <v>103</v>
      </c>
      <c r="B135" s="196">
        <v>41883</v>
      </c>
      <c r="C135" s="152" t="s">
        <v>1005</v>
      </c>
      <c r="D135" s="242" t="s">
        <v>284</v>
      </c>
      <c r="E135" s="155">
        <v>12.32</v>
      </c>
      <c r="F135" s="151" t="s">
        <v>117</v>
      </c>
      <c r="G135" s="152" t="s">
        <v>171</v>
      </c>
      <c r="H135" s="307" t="s">
        <v>294</v>
      </c>
      <c r="I135" s="153" t="s">
        <v>336</v>
      </c>
      <c r="J135" s="341"/>
    </row>
    <row r="136" spans="1:10" s="188" customFormat="1" ht="37.5" customHeight="1" outlineLevel="2">
      <c r="A136" s="232">
        <v>119</v>
      </c>
      <c r="B136" s="196">
        <v>42002</v>
      </c>
      <c r="C136" s="152" t="s">
        <v>1015</v>
      </c>
      <c r="D136" s="154" t="s">
        <v>599</v>
      </c>
      <c r="E136" s="155">
        <v>0.06</v>
      </c>
      <c r="F136" s="151" t="s">
        <v>117</v>
      </c>
      <c r="G136" s="152" t="s">
        <v>171</v>
      </c>
      <c r="H136" s="307" t="s">
        <v>294</v>
      </c>
      <c r="I136" s="153" t="s">
        <v>336</v>
      </c>
      <c r="J136" s="341"/>
    </row>
    <row r="137" spans="1:10" s="188" customFormat="1" ht="37.5" customHeight="1" outlineLevel="2">
      <c r="A137" s="232">
        <v>121</v>
      </c>
      <c r="B137" s="196">
        <v>42002</v>
      </c>
      <c r="C137" s="244" t="s">
        <v>1011</v>
      </c>
      <c r="D137" s="154" t="s">
        <v>284</v>
      </c>
      <c r="E137" s="155">
        <v>0.12</v>
      </c>
      <c r="F137" s="151" t="s">
        <v>117</v>
      </c>
      <c r="G137" s="152" t="s">
        <v>171</v>
      </c>
      <c r="H137" s="307" t="s">
        <v>294</v>
      </c>
      <c r="I137" s="153" t="s">
        <v>336</v>
      </c>
      <c r="J137" s="341"/>
    </row>
    <row r="138" spans="1:9" s="147" customFormat="1" ht="37.5" customHeight="1" outlineLevel="2">
      <c r="A138" s="232">
        <v>125</v>
      </c>
      <c r="B138" s="196">
        <v>42002</v>
      </c>
      <c r="C138" s="152" t="s">
        <v>1019</v>
      </c>
      <c r="D138" s="340" t="s">
        <v>333</v>
      </c>
      <c r="E138" s="155">
        <v>2.17</v>
      </c>
      <c r="F138" s="151" t="s">
        <v>117</v>
      </c>
      <c r="G138" s="152" t="s">
        <v>171</v>
      </c>
      <c r="H138" s="307" t="s">
        <v>294</v>
      </c>
      <c r="I138" s="153" t="s">
        <v>336</v>
      </c>
    </row>
    <row r="139" spans="1:10" s="51" customFormat="1" ht="37.5" customHeight="1" outlineLevel="2">
      <c r="A139" s="232">
        <v>127</v>
      </c>
      <c r="B139" s="196">
        <v>42002</v>
      </c>
      <c r="C139" s="152" t="s">
        <v>1021</v>
      </c>
      <c r="D139" s="308" t="s">
        <v>284</v>
      </c>
      <c r="E139" s="155">
        <v>4.34</v>
      </c>
      <c r="F139" s="151" t="s">
        <v>117</v>
      </c>
      <c r="G139" s="152" t="s">
        <v>171</v>
      </c>
      <c r="H139" s="307" t="s">
        <v>294</v>
      </c>
      <c r="I139" s="153" t="s">
        <v>336</v>
      </c>
      <c r="J139" s="229"/>
    </row>
    <row r="140" spans="1:10" s="51" customFormat="1" ht="37.5" customHeight="1" outlineLevel="1">
      <c r="A140" s="217"/>
      <c r="B140" s="610"/>
      <c r="C140" s="250"/>
      <c r="D140" s="611"/>
      <c r="E140" s="248">
        <f>SUBTOTAL(9,E114:E139)</f>
        <v>197.94</v>
      </c>
      <c r="F140" s="612" t="s">
        <v>1030</v>
      </c>
      <c r="G140" s="250"/>
      <c r="H140" s="607"/>
      <c r="I140" s="250"/>
      <c r="J140" s="229"/>
    </row>
    <row r="141" ht="12.75" outlineLevel="1">
      <c r="E141" s="52"/>
    </row>
    <row r="142" spans="5:6" ht="12.75" outlineLevel="1">
      <c r="E142" s="52">
        <f>SUBTOTAL(9,E4:E141)</f>
        <v>314397.65000000026</v>
      </c>
      <c r="F142" s="655" t="s">
        <v>1031</v>
      </c>
    </row>
  </sheetData>
  <sheetProtection/>
  <mergeCells count="1">
    <mergeCell ref="A1:I1"/>
  </mergeCells>
  <printOptions/>
  <pageMargins left="0.25" right="0.25" top="0.75" bottom="0.75" header="0.3" footer="0.3"/>
  <pageSetup fitToHeight="0" horizontalDpi="300" verticalDpi="300" orientation="landscape" paperSize="9" scale="70" r:id="rId1"/>
  <headerFooter>
    <oddFooter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4"/>
  <sheetViews>
    <sheetView zoomScale="95" zoomScaleNormal="95" zoomScalePageLayoutView="0" workbookViewId="0" topLeftCell="A19">
      <selection activeCell="C18" sqref="C18"/>
    </sheetView>
  </sheetViews>
  <sheetFormatPr defaultColWidth="9.140625" defaultRowHeight="12.75"/>
  <cols>
    <col min="1" max="1" width="11.8515625" style="0" bestFit="1" customWidth="1"/>
    <col min="2" max="2" width="11.7109375" style="0" customWidth="1"/>
    <col min="3" max="3" width="31.8515625" style="0" customWidth="1"/>
    <col min="4" max="4" width="17.8515625" style="0" bestFit="1" customWidth="1"/>
    <col min="5" max="5" width="13.57421875" style="0" bestFit="1" customWidth="1"/>
    <col min="6" max="6" width="13.57421875" style="0" customWidth="1"/>
    <col min="7" max="7" width="14.140625" style="0" customWidth="1"/>
    <col min="8" max="8" width="40.140625" style="0" bestFit="1" customWidth="1"/>
  </cols>
  <sheetData>
    <row r="1" spans="1:8" ht="12.75">
      <c r="A1" s="674" t="s">
        <v>319</v>
      </c>
      <c r="B1" s="674"/>
      <c r="C1" s="674"/>
      <c r="D1" s="674"/>
      <c r="E1" s="674"/>
      <c r="F1" s="674"/>
      <c r="G1" s="674"/>
      <c r="H1" s="674"/>
    </row>
    <row r="2" spans="1:8" ht="54">
      <c r="A2" s="219" t="s">
        <v>283</v>
      </c>
      <c r="B2" s="219" t="s">
        <v>281</v>
      </c>
      <c r="C2" s="219" t="s">
        <v>214</v>
      </c>
      <c r="D2" s="219" t="s">
        <v>227</v>
      </c>
      <c r="E2" s="220" t="s">
        <v>211</v>
      </c>
      <c r="F2" s="220" t="s">
        <v>1072</v>
      </c>
      <c r="G2" s="219" t="s">
        <v>212</v>
      </c>
      <c r="H2" s="219" t="s">
        <v>213</v>
      </c>
    </row>
    <row r="3" spans="1:8" ht="18">
      <c r="A3" s="217"/>
      <c r="B3" s="217"/>
      <c r="C3" s="217"/>
      <c r="D3" s="217"/>
      <c r="E3" s="218"/>
      <c r="F3" s="218"/>
      <c r="G3" s="217"/>
      <c r="H3" s="217"/>
    </row>
    <row r="4" s="147" customFormat="1" ht="12.75"/>
    <row r="5" spans="1:8" ht="12.75">
      <c r="A5" s="326" t="s">
        <v>413</v>
      </c>
      <c r="B5" s="315">
        <v>41274</v>
      </c>
      <c r="C5" s="242" t="s">
        <v>414</v>
      </c>
      <c r="D5" s="242" t="s">
        <v>415</v>
      </c>
      <c r="E5" s="327">
        <v>0.13</v>
      </c>
      <c r="F5" s="327">
        <v>0.13</v>
      </c>
      <c r="G5" s="158" t="s">
        <v>115</v>
      </c>
      <c r="H5" s="192" t="s">
        <v>0</v>
      </c>
    </row>
    <row r="6" spans="1:8" ht="12.75">
      <c r="A6" s="225" t="s">
        <v>416</v>
      </c>
      <c r="B6" s="274">
        <v>41274</v>
      </c>
      <c r="C6" s="154" t="s">
        <v>417</v>
      </c>
      <c r="D6" s="154" t="s">
        <v>415</v>
      </c>
      <c r="E6" s="194">
        <v>0.27</v>
      </c>
      <c r="F6" s="194">
        <v>0.27</v>
      </c>
      <c r="G6" s="158" t="s">
        <v>116</v>
      </c>
      <c r="H6" s="325" t="s">
        <v>44</v>
      </c>
    </row>
    <row r="7" spans="1:8" ht="13.5" thickBot="1">
      <c r="A7" s="317" t="s">
        <v>418</v>
      </c>
      <c r="B7" s="328">
        <v>41274</v>
      </c>
      <c r="C7" s="198" t="s">
        <v>419</v>
      </c>
      <c r="D7" s="198" t="s">
        <v>415</v>
      </c>
      <c r="E7" s="329">
        <v>7.16</v>
      </c>
      <c r="F7" s="329">
        <v>7.16</v>
      </c>
      <c r="G7" s="158" t="s">
        <v>117</v>
      </c>
      <c r="H7" s="325" t="s">
        <v>171</v>
      </c>
    </row>
    <row r="8" spans="1:8" ht="14.25" thickBot="1" thickTop="1">
      <c r="A8" s="330" t="s">
        <v>316</v>
      </c>
      <c r="B8" s="330"/>
      <c r="C8" s="330"/>
      <c r="D8" s="331"/>
      <c r="E8" s="332">
        <f>SUM(E5:E7)</f>
        <v>7.5600000000000005</v>
      </c>
      <c r="F8" s="332">
        <f>SUM(F5:F7)</f>
        <v>7.5600000000000005</v>
      </c>
      <c r="G8" s="330"/>
      <c r="H8" s="330"/>
    </row>
    <row r="9" ht="13.5" thickTop="1"/>
    <row r="10" spans="1:8" s="147" customFormat="1" ht="13.5" thickBot="1">
      <c r="A10"/>
      <c r="B10"/>
      <c r="C10"/>
      <c r="D10"/>
      <c r="E10" s="310"/>
      <c r="F10" s="310"/>
      <c r="G10"/>
      <c r="H10"/>
    </row>
    <row r="11" spans="1:8" s="147" customFormat="1" ht="13.5" thickTop="1">
      <c r="A11" s="323" t="s">
        <v>403</v>
      </c>
      <c r="B11" s="271">
        <v>41275</v>
      </c>
      <c r="C11" s="322" t="s">
        <v>402</v>
      </c>
      <c r="D11" s="322" t="s">
        <v>395</v>
      </c>
      <c r="E11" s="321">
        <v>155812.5</v>
      </c>
      <c r="F11" s="321">
        <v>155812.5</v>
      </c>
      <c r="G11" s="158" t="s">
        <v>38</v>
      </c>
      <c r="H11" s="192" t="s">
        <v>183</v>
      </c>
    </row>
    <row r="12" spans="1:8" s="147" customFormat="1" ht="25.5">
      <c r="A12" s="324" t="s">
        <v>404</v>
      </c>
      <c r="B12" s="315">
        <v>41639</v>
      </c>
      <c r="C12" s="152" t="s">
        <v>390</v>
      </c>
      <c r="D12" s="154" t="s">
        <v>237</v>
      </c>
      <c r="E12" s="161">
        <v>500</v>
      </c>
      <c r="F12" s="161">
        <v>0</v>
      </c>
      <c r="G12" s="158" t="s">
        <v>115</v>
      </c>
      <c r="H12" s="192" t="s">
        <v>0</v>
      </c>
    </row>
    <row r="13" spans="1:8" s="147" customFormat="1" ht="12.75">
      <c r="A13" s="324" t="s">
        <v>405</v>
      </c>
      <c r="B13" s="315">
        <v>41639</v>
      </c>
      <c r="C13" s="152" t="s">
        <v>392</v>
      </c>
      <c r="D13" s="154" t="s">
        <v>291</v>
      </c>
      <c r="E13" s="161">
        <v>500</v>
      </c>
      <c r="F13" s="161">
        <v>0</v>
      </c>
      <c r="G13" s="158" t="s">
        <v>115</v>
      </c>
      <c r="H13" s="192" t="s">
        <v>0</v>
      </c>
    </row>
    <row r="14" spans="1:8" s="147" customFormat="1" ht="12.75">
      <c r="A14" s="324" t="s">
        <v>406</v>
      </c>
      <c r="B14" s="315">
        <v>41639</v>
      </c>
      <c r="C14" s="154" t="s">
        <v>391</v>
      </c>
      <c r="D14" s="154" t="s">
        <v>292</v>
      </c>
      <c r="E14" s="155">
        <v>620</v>
      </c>
      <c r="F14" s="155">
        <v>0</v>
      </c>
      <c r="G14" s="158" t="s">
        <v>115</v>
      </c>
      <c r="H14" s="192" t="s">
        <v>0</v>
      </c>
    </row>
    <row r="15" spans="1:8" s="147" customFormat="1" ht="25.5">
      <c r="A15" s="324" t="s">
        <v>407</v>
      </c>
      <c r="B15" s="315">
        <v>41639</v>
      </c>
      <c r="C15" s="152" t="s">
        <v>1098</v>
      </c>
      <c r="D15" s="154" t="s">
        <v>395</v>
      </c>
      <c r="E15" s="155">
        <v>5000</v>
      </c>
      <c r="F15" s="155">
        <v>5000</v>
      </c>
      <c r="G15" s="158" t="s">
        <v>27</v>
      </c>
      <c r="H15" s="192" t="s">
        <v>101</v>
      </c>
    </row>
    <row r="16" spans="1:8" s="147" customFormat="1" ht="12.75">
      <c r="A16" s="324" t="s">
        <v>408</v>
      </c>
      <c r="B16" s="315">
        <v>41639</v>
      </c>
      <c r="C16" s="154" t="s">
        <v>396</v>
      </c>
      <c r="D16" s="154" t="s">
        <v>397</v>
      </c>
      <c r="E16" s="155">
        <v>5000</v>
      </c>
      <c r="F16" s="155">
        <v>0</v>
      </c>
      <c r="G16" s="158" t="s">
        <v>27</v>
      </c>
      <c r="H16" s="192" t="s">
        <v>101</v>
      </c>
    </row>
    <row r="17" spans="1:8" s="147" customFormat="1" ht="12.75">
      <c r="A17" s="324" t="s">
        <v>409</v>
      </c>
      <c r="B17" s="315">
        <v>41639</v>
      </c>
      <c r="C17" s="154" t="s">
        <v>398</v>
      </c>
      <c r="D17" s="154" t="s">
        <v>395</v>
      </c>
      <c r="E17" s="155">
        <v>46207.66</v>
      </c>
      <c r="F17" s="155">
        <v>0</v>
      </c>
      <c r="G17" s="158" t="s">
        <v>38</v>
      </c>
      <c r="H17" s="192" t="s">
        <v>183</v>
      </c>
    </row>
    <row r="18" spans="1:8" s="147" customFormat="1" ht="13.5" thickBot="1">
      <c r="A18" s="318" t="s">
        <v>316</v>
      </c>
      <c r="B18" s="318"/>
      <c r="C18" s="318"/>
      <c r="D18" s="319"/>
      <c r="E18" s="320">
        <f>SUM(E11:E17)</f>
        <v>213640.16</v>
      </c>
      <c r="F18" s="320">
        <f>SUM(F11:F17)</f>
        <v>160812.5</v>
      </c>
      <c r="G18" s="318"/>
      <c r="H18" s="318"/>
    </row>
    <row r="19" spans="1:8" s="147" customFormat="1" ht="13.5" thickTop="1">
      <c r="A19"/>
      <c r="B19"/>
      <c r="C19"/>
      <c r="D19"/>
      <c r="E19"/>
      <c r="F19"/>
      <c r="G19"/>
      <c r="H19"/>
    </row>
    <row r="20" spans="1:8" s="147" customFormat="1" ht="12.75">
      <c r="A20"/>
      <c r="B20"/>
      <c r="C20" s="646" t="s">
        <v>1059</v>
      </c>
      <c r="D20" s="646"/>
      <c r="E20" s="333">
        <f>E8+E18</f>
        <v>213647.72</v>
      </c>
      <c r="F20" s="333">
        <f>F8+F18</f>
        <v>160820.06</v>
      </c>
      <c r="G20"/>
      <c r="H20"/>
    </row>
    <row r="21" spans="1:8" s="147" customFormat="1" ht="12.75">
      <c r="A21" s="608"/>
      <c r="B21" s="608"/>
      <c r="C21" s="608"/>
      <c r="D21" s="608"/>
      <c r="E21" s="374"/>
      <c r="F21" s="608"/>
      <c r="G21" s="608"/>
      <c r="H21" s="608"/>
    </row>
    <row r="22" spans="1:8" s="147" customFormat="1" ht="12.75">
      <c r="A22"/>
      <c r="B22"/>
      <c r="C22"/>
      <c r="D22"/>
      <c r="E22"/>
      <c r="F22"/>
      <c r="G22"/>
      <c r="H22"/>
    </row>
    <row r="23" spans="1:8" s="147" customFormat="1" ht="12.75">
      <c r="A23" s="402" t="s">
        <v>1060</v>
      </c>
      <c r="B23" s="315">
        <v>41640</v>
      </c>
      <c r="C23" s="154" t="s">
        <v>713</v>
      </c>
      <c r="D23" s="154" t="s">
        <v>395</v>
      </c>
      <c r="E23" s="541">
        <v>13162.5</v>
      </c>
      <c r="F23" s="542">
        <f>13162.5-7897.5</f>
        <v>5265</v>
      </c>
      <c r="G23" s="158" t="s">
        <v>38</v>
      </c>
      <c r="H23" s="192" t="s">
        <v>183</v>
      </c>
    </row>
    <row r="24" spans="1:8" s="147" customFormat="1" ht="12.75">
      <c r="A24" s="402"/>
      <c r="B24" s="315"/>
      <c r="C24" s="154"/>
      <c r="D24" s="154"/>
      <c r="E24" s="399"/>
      <c r="F24" s="400"/>
      <c r="G24" s="158"/>
      <c r="H24" s="401"/>
    </row>
    <row r="25" spans="1:8" ht="15">
      <c r="A25" s="402" t="s">
        <v>1061</v>
      </c>
      <c r="B25" s="315">
        <v>41943</v>
      </c>
      <c r="C25" s="314" t="s">
        <v>714</v>
      </c>
      <c r="D25" s="314" t="s">
        <v>715</v>
      </c>
      <c r="E25" s="351">
        <v>10000</v>
      </c>
      <c r="F25" s="351">
        <v>10000</v>
      </c>
      <c r="G25" s="311" t="s">
        <v>21</v>
      </c>
      <c r="H25" s="308" t="s">
        <v>191</v>
      </c>
    </row>
    <row r="26" spans="1:8" s="147" customFormat="1" ht="15">
      <c r="A26" s="584" t="s">
        <v>1063</v>
      </c>
      <c r="B26" s="274">
        <v>41976</v>
      </c>
      <c r="C26" s="312" t="s">
        <v>972</v>
      </c>
      <c r="D26" s="312" t="s">
        <v>583</v>
      </c>
      <c r="E26" s="363">
        <v>10000</v>
      </c>
      <c r="F26" s="363">
        <v>10000</v>
      </c>
      <c r="G26" s="311" t="s">
        <v>21</v>
      </c>
      <c r="H26" s="308" t="s">
        <v>191</v>
      </c>
    </row>
    <row r="27" spans="1:8" s="147" customFormat="1" ht="15">
      <c r="A27" s="584" t="s">
        <v>1065</v>
      </c>
      <c r="B27" s="274">
        <v>41976</v>
      </c>
      <c r="C27" s="312" t="s">
        <v>973</v>
      </c>
      <c r="D27" s="312" t="s">
        <v>715</v>
      </c>
      <c r="E27" s="363">
        <v>5000</v>
      </c>
      <c r="F27" s="363">
        <v>5000</v>
      </c>
      <c r="G27" s="311" t="s">
        <v>21</v>
      </c>
      <c r="H27" s="308" t="s">
        <v>191</v>
      </c>
    </row>
    <row r="28" spans="1:8" ht="15">
      <c r="A28" s="402"/>
      <c r="B28" s="314"/>
      <c r="C28" s="314"/>
      <c r="D28" s="314"/>
      <c r="E28" s="333">
        <f>SUM(E25:E27)</f>
        <v>25000</v>
      </c>
      <c r="F28" s="333">
        <f>SUM(F25:F27)</f>
        <v>25000</v>
      </c>
      <c r="G28" s="311"/>
      <c r="H28" s="308"/>
    </row>
    <row r="29" spans="1:8" ht="15">
      <c r="A29" s="402"/>
      <c r="B29" s="314"/>
      <c r="C29" s="314"/>
      <c r="D29" s="314"/>
      <c r="E29" s="362"/>
      <c r="F29" s="351"/>
      <c r="G29" s="311"/>
      <c r="H29" s="308"/>
    </row>
    <row r="30" spans="1:8" ht="15">
      <c r="A30" s="402" t="s">
        <v>1062</v>
      </c>
      <c r="B30" s="315">
        <v>41943</v>
      </c>
      <c r="C30" s="314" t="s">
        <v>714</v>
      </c>
      <c r="D30" s="314" t="s">
        <v>715</v>
      </c>
      <c r="E30" s="351">
        <v>2200</v>
      </c>
      <c r="F30" s="351">
        <v>2200</v>
      </c>
      <c r="G30" s="306" t="s">
        <v>26</v>
      </c>
      <c r="H30" s="307" t="s">
        <v>100</v>
      </c>
    </row>
    <row r="31" spans="1:8" s="147" customFormat="1" ht="15">
      <c r="A31" s="584" t="s">
        <v>1064</v>
      </c>
      <c r="B31" s="274">
        <v>41976</v>
      </c>
      <c r="C31" s="312" t="s">
        <v>972</v>
      </c>
      <c r="D31" s="312" t="s">
        <v>583</v>
      </c>
      <c r="E31" s="363">
        <v>2200</v>
      </c>
      <c r="F31" s="363">
        <v>2200</v>
      </c>
      <c r="G31" s="306" t="s">
        <v>26</v>
      </c>
      <c r="H31" s="307" t="s">
        <v>100</v>
      </c>
    </row>
    <row r="32" spans="1:8" s="147" customFormat="1" ht="15">
      <c r="A32" s="584" t="s">
        <v>1066</v>
      </c>
      <c r="B32" s="274">
        <v>41976</v>
      </c>
      <c r="C32" s="312" t="s">
        <v>973</v>
      </c>
      <c r="D32" s="312" t="s">
        <v>715</v>
      </c>
      <c r="E32" s="363">
        <v>1100</v>
      </c>
      <c r="F32" s="363">
        <v>1100</v>
      </c>
      <c r="G32" s="306" t="s">
        <v>26</v>
      </c>
      <c r="H32" s="307" t="s">
        <v>100</v>
      </c>
    </row>
    <row r="33" spans="1:8" ht="12.75">
      <c r="A33" s="314"/>
      <c r="B33" s="314"/>
      <c r="C33" s="314"/>
      <c r="D33" s="314"/>
      <c r="E33" s="333">
        <f>SUM(E30:E32)</f>
        <v>5500</v>
      </c>
      <c r="F33" s="333">
        <f>SUM(F30:F32)</f>
        <v>5500</v>
      </c>
      <c r="G33" s="314"/>
      <c r="H33" s="314"/>
    </row>
    <row r="35" spans="1:8" s="147" customFormat="1" ht="25.5">
      <c r="A35" s="324" t="s">
        <v>1067</v>
      </c>
      <c r="B35" s="315">
        <v>42004</v>
      </c>
      <c r="C35" s="152" t="s">
        <v>1055</v>
      </c>
      <c r="D35" s="154" t="s">
        <v>237</v>
      </c>
      <c r="E35" s="161">
        <v>500</v>
      </c>
      <c r="F35" s="161">
        <v>500</v>
      </c>
      <c r="G35" s="158" t="s">
        <v>115</v>
      </c>
      <c r="H35" s="192" t="s">
        <v>0</v>
      </c>
    </row>
    <row r="36" spans="1:8" s="147" customFormat="1" ht="12.75">
      <c r="A36" s="324" t="s">
        <v>1068</v>
      </c>
      <c r="B36" s="315">
        <v>42004</v>
      </c>
      <c r="C36" s="152" t="s">
        <v>1056</v>
      </c>
      <c r="D36" s="154" t="s">
        <v>291</v>
      </c>
      <c r="E36" s="161">
        <v>500</v>
      </c>
      <c r="F36" s="161">
        <v>500</v>
      </c>
      <c r="G36" s="158" t="s">
        <v>115</v>
      </c>
      <c r="H36" s="192" t="s">
        <v>0</v>
      </c>
    </row>
    <row r="37" spans="1:8" s="147" customFormat="1" ht="12.75">
      <c r="A37" s="324" t="s">
        <v>1069</v>
      </c>
      <c r="B37" s="315">
        <v>42004</v>
      </c>
      <c r="C37" s="154" t="s">
        <v>1057</v>
      </c>
      <c r="D37" s="154" t="s">
        <v>292</v>
      </c>
      <c r="E37" s="155">
        <v>620</v>
      </c>
      <c r="F37" s="155">
        <v>620</v>
      </c>
      <c r="G37" s="158" t="s">
        <v>115</v>
      </c>
      <c r="H37" s="192" t="s">
        <v>0</v>
      </c>
    </row>
    <row r="38" spans="1:8" s="147" customFormat="1" ht="12.75">
      <c r="A38" s="656"/>
      <c r="B38" s="657"/>
      <c r="C38" s="91"/>
      <c r="D38" s="91"/>
      <c r="E38" s="248"/>
      <c r="F38" s="248"/>
      <c r="G38" s="90"/>
      <c r="H38" s="658"/>
    </row>
    <row r="39" spans="1:8" s="147" customFormat="1" ht="12.75">
      <c r="A39" s="659" t="s">
        <v>1081</v>
      </c>
      <c r="B39" s="315">
        <v>42004</v>
      </c>
      <c r="C39" s="154" t="s">
        <v>1083</v>
      </c>
      <c r="D39" s="154" t="s">
        <v>300</v>
      </c>
      <c r="E39" s="155">
        <v>11.19</v>
      </c>
      <c r="F39" s="155">
        <v>11.19</v>
      </c>
      <c r="G39" s="158" t="s">
        <v>116</v>
      </c>
      <c r="H39" s="159" t="s">
        <v>44</v>
      </c>
    </row>
    <row r="40" spans="1:8" s="147" customFormat="1" ht="12.75">
      <c r="A40" s="659" t="s">
        <v>1082</v>
      </c>
      <c r="B40" s="315">
        <v>42004</v>
      </c>
      <c r="C40" s="154" t="s">
        <v>1083</v>
      </c>
      <c r="D40" s="154" t="s">
        <v>315</v>
      </c>
      <c r="E40" s="155">
        <v>234.3</v>
      </c>
      <c r="F40" s="155">
        <v>234.3</v>
      </c>
      <c r="G40" s="158" t="s">
        <v>117</v>
      </c>
      <c r="H40" s="159" t="s">
        <v>1084</v>
      </c>
    </row>
    <row r="41" spans="1:8" s="147" customFormat="1" ht="12.75">
      <c r="A41" s="656"/>
      <c r="B41" s="657"/>
      <c r="C41" s="91"/>
      <c r="D41" s="91"/>
      <c r="E41" s="248"/>
      <c r="F41" s="248"/>
      <c r="G41" s="90"/>
      <c r="H41" s="658"/>
    </row>
    <row r="42" spans="5:6" ht="12.75">
      <c r="E42" s="54">
        <f>SUM(E35:E41)</f>
        <v>1865.49</v>
      </c>
      <c r="F42" s="54">
        <f>SUM(F35:F41)</f>
        <v>1865.49</v>
      </c>
    </row>
    <row r="44" spans="5:6" ht="12.75">
      <c r="E44" s="333">
        <f>E20+E23+E28+E33+E42</f>
        <v>259175.71</v>
      </c>
      <c r="F44" s="333">
        <f>F20+F23+F28+F33+F42</f>
        <v>198450.55</v>
      </c>
    </row>
  </sheetData>
  <sheetProtection/>
  <mergeCells count="1">
    <mergeCell ref="A1:H1"/>
  </mergeCells>
  <printOptions/>
  <pageMargins left="0.7086614173228347" right="0.7086614173228347" top="0.4724409448818898" bottom="0.1968503937007874" header="0.31496062992125984" footer="0.196850393700787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49"/>
  <sheetViews>
    <sheetView zoomScale="75" zoomScaleNormal="75" zoomScalePageLayoutView="0" workbookViewId="0" topLeftCell="A5">
      <pane ySplit="1" topLeftCell="A56" activePane="bottomLeft" state="frozen"/>
      <selection pane="topLeft" activeCell="A5" sqref="A5"/>
      <selection pane="bottomLeft" activeCell="M82" sqref="M82"/>
    </sheetView>
  </sheetViews>
  <sheetFormatPr defaultColWidth="9.140625" defaultRowHeight="12.75"/>
  <cols>
    <col min="1" max="1" width="13.00390625" style="1" customWidth="1"/>
    <col min="2" max="2" width="45.7109375" style="1" customWidth="1"/>
    <col min="3" max="3" width="15.28125" style="3" customWidth="1"/>
    <col min="4" max="4" width="14.28125" style="3" customWidth="1"/>
    <col min="5" max="6" width="15.28125" style="3" customWidth="1"/>
    <col min="7" max="7" width="17.421875" style="7" bestFit="1" customWidth="1"/>
    <col min="8" max="8" width="12.7109375" style="1" bestFit="1" customWidth="1"/>
    <col min="9" max="9" width="27.421875" style="1" bestFit="1" customWidth="1"/>
    <col min="10" max="10" width="28.140625" style="1" customWidth="1"/>
    <col min="11" max="11" width="10.8515625" style="1" bestFit="1" customWidth="1"/>
    <col min="12" max="12" width="21.8515625" style="1" bestFit="1" customWidth="1"/>
    <col min="13" max="13" width="12.57421875" style="1" bestFit="1" customWidth="1"/>
    <col min="14" max="14" width="15.140625" style="1" customWidth="1"/>
    <col min="15" max="15" width="10.421875" style="1" bestFit="1" customWidth="1"/>
    <col min="16" max="16384" width="9.140625" style="1" customWidth="1"/>
  </cols>
  <sheetData>
    <row r="1" spans="1:13" s="42" customFormat="1" ht="18" customHeight="1" hidden="1">
      <c r="A1" s="678" t="s">
        <v>192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</row>
    <row r="2" spans="1:13" s="42" customFormat="1" ht="18" customHeight="1" hidden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8" s="43" customFormat="1" ht="18" customHeight="1" hidden="1">
      <c r="A3" s="675"/>
      <c r="B3" s="676"/>
      <c r="C3" s="676"/>
      <c r="D3" s="44"/>
      <c r="E3" s="44"/>
      <c r="F3" s="44"/>
      <c r="G3" s="213"/>
      <c r="H3" s="214"/>
    </row>
    <row r="4" spans="1:13" s="43" customFormat="1" ht="23.25" customHeight="1" hidden="1" thickBot="1">
      <c r="A4" s="677" t="s">
        <v>348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</row>
    <row r="5" spans="1:13" s="33" customFormat="1" ht="40.5" customHeight="1">
      <c r="A5" s="32" t="s">
        <v>8</v>
      </c>
      <c r="B5" s="76" t="s">
        <v>7</v>
      </c>
      <c r="C5" s="126" t="s">
        <v>554</v>
      </c>
      <c r="D5" s="275" t="s">
        <v>6</v>
      </c>
      <c r="E5" s="126" t="s">
        <v>301</v>
      </c>
      <c r="F5" s="124" t="s">
        <v>302</v>
      </c>
      <c r="G5" s="125" t="s">
        <v>303</v>
      </c>
      <c r="H5" s="125" t="s">
        <v>304</v>
      </c>
      <c r="I5" s="164" t="s">
        <v>305</v>
      </c>
      <c r="J5" s="531" t="s">
        <v>720</v>
      </c>
      <c r="K5" s="531" t="s">
        <v>309</v>
      </c>
      <c r="L5" s="532" t="s">
        <v>722</v>
      </c>
      <c r="M5" s="513" t="s">
        <v>306</v>
      </c>
    </row>
    <row r="6" spans="1:13" s="25" customFormat="1" ht="7.5" customHeight="1">
      <c r="A6" s="24"/>
      <c r="B6" s="59"/>
      <c r="C6" s="129"/>
      <c r="D6" s="127"/>
      <c r="E6" s="129"/>
      <c r="F6" s="127"/>
      <c r="G6" s="128"/>
      <c r="H6" s="128"/>
      <c r="I6" s="129"/>
      <c r="J6" s="259"/>
      <c r="K6" s="259"/>
      <c r="L6" s="525"/>
      <c r="M6" s="514"/>
    </row>
    <row r="7" spans="1:13" s="31" customFormat="1" ht="21.75" customHeight="1">
      <c r="A7" s="30" t="s">
        <v>46</v>
      </c>
      <c r="B7" s="60" t="s">
        <v>47</v>
      </c>
      <c r="C7" s="130"/>
      <c r="D7" s="276"/>
      <c r="E7" s="166"/>
      <c r="F7" s="165"/>
      <c r="G7" s="167"/>
      <c r="H7" s="167"/>
      <c r="I7" s="130"/>
      <c r="J7" s="260"/>
      <c r="K7" s="260"/>
      <c r="L7" s="526"/>
      <c r="M7" s="515"/>
    </row>
    <row r="8" spans="1:13" ht="15" customHeight="1">
      <c r="A8" s="22" t="s">
        <v>63</v>
      </c>
      <c r="B8" s="61" t="s">
        <v>5</v>
      </c>
      <c r="C8" s="133"/>
      <c r="D8" s="277"/>
      <c r="E8" s="133"/>
      <c r="F8" s="131"/>
      <c r="G8" s="132"/>
      <c r="H8" s="132"/>
      <c r="I8" s="133"/>
      <c r="J8" s="261"/>
      <c r="K8" s="261"/>
      <c r="L8" s="527"/>
      <c r="M8" s="516"/>
    </row>
    <row r="9" spans="1:13" s="5" customFormat="1" ht="15" customHeight="1">
      <c r="A9" s="26" t="s">
        <v>48</v>
      </c>
      <c r="B9" s="62" t="s">
        <v>121</v>
      </c>
      <c r="C9" s="117"/>
      <c r="D9" s="278"/>
      <c r="E9" s="168"/>
      <c r="F9" s="101"/>
      <c r="G9" s="116"/>
      <c r="H9" s="116"/>
      <c r="I9" s="117"/>
      <c r="J9" s="262"/>
      <c r="K9" s="262"/>
      <c r="L9" s="528"/>
      <c r="M9" s="517"/>
    </row>
    <row r="10" spans="1:15" s="35" customFormat="1" ht="15" customHeight="1">
      <c r="A10" s="34" t="s">
        <v>64</v>
      </c>
      <c r="B10" s="63" t="s">
        <v>122</v>
      </c>
      <c r="C10" s="104"/>
      <c r="D10" s="102"/>
      <c r="E10" s="104"/>
      <c r="F10" s="102"/>
      <c r="G10" s="103"/>
      <c r="H10" s="103"/>
      <c r="I10" s="104"/>
      <c r="J10" s="263"/>
      <c r="K10" s="263"/>
      <c r="L10" s="529"/>
      <c r="M10" s="509"/>
      <c r="N10" s="396"/>
      <c r="O10" s="1"/>
    </row>
    <row r="11" spans="1:16" ht="13.5" customHeight="1">
      <c r="A11" s="20" t="s">
        <v>49</v>
      </c>
      <c r="B11" s="64" t="s">
        <v>124</v>
      </c>
      <c r="C11" s="99">
        <v>3000</v>
      </c>
      <c r="D11" s="97">
        <v>172</v>
      </c>
      <c r="E11" s="99">
        <f>SUM(C11:D11)</f>
        <v>3172</v>
      </c>
      <c r="F11" s="97">
        <v>3172</v>
      </c>
      <c r="G11" s="98">
        <v>0</v>
      </c>
      <c r="H11" s="98">
        <f>F11-G11</f>
        <v>3172</v>
      </c>
      <c r="I11" s="99">
        <f>E11-F11</f>
        <v>0</v>
      </c>
      <c r="J11" s="264">
        <v>3172</v>
      </c>
      <c r="K11" s="264">
        <v>3172</v>
      </c>
      <c r="L11" s="530">
        <f>J11-K11</f>
        <v>0</v>
      </c>
      <c r="M11" s="510">
        <f>G11+K11</f>
        <v>3172</v>
      </c>
      <c r="N11" s="397"/>
      <c r="O11" s="4"/>
      <c r="P11" s="4"/>
    </row>
    <row r="12" spans="1:16" ht="13.5" customHeight="1">
      <c r="A12" s="20" t="s">
        <v>50</v>
      </c>
      <c r="B12" s="64" t="s">
        <v>125</v>
      </c>
      <c r="C12" s="99">
        <v>200</v>
      </c>
      <c r="D12" s="97">
        <f>185.46+56.59</f>
        <v>242.05</v>
      </c>
      <c r="E12" s="99">
        <f>SUM(C12:D12)</f>
        <v>442.05</v>
      </c>
      <c r="F12" s="97">
        <v>442.05</v>
      </c>
      <c r="G12" s="98">
        <v>442.05</v>
      </c>
      <c r="H12" s="98">
        <f>F12-G12</f>
        <v>0</v>
      </c>
      <c r="I12" s="99">
        <f>E12-F12</f>
        <v>0</v>
      </c>
      <c r="J12" s="265">
        <v>0</v>
      </c>
      <c r="K12" s="265">
        <v>0</v>
      </c>
      <c r="L12" s="530">
        <f aca="true" t="shared" si="0" ref="L12:L75">J12-K12</f>
        <v>0</v>
      </c>
      <c r="M12" s="510">
        <f>G12+K12</f>
        <v>442.05</v>
      </c>
      <c r="N12" s="397"/>
      <c r="O12" s="4"/>
      <c r="P12" s="4"/>
    </row>
    <row r="13" spans="1:16" ht="15" customHeight="1">
      <c r="A13" s="8"/>
      <c r="B13" s="71" t="s">
        <v>123</v>
      </c>
      <c r="C13" s="100">
        <f>SUM(C11:C12)</f>
        <v>3200</v>
      </c>
      <c r="D13" s="100">
        <f aca="true" t="shared" si="1" ref="D13:M13">SUM(D11:D12)</f>
        <v>414.05</v>
      </c>
      <c r="E13" s="100">
        <f t="shared" si="1"/>
        <v>3614.05</v>
      </c>
      <c r="F13" s="100">
        <f t="shared" si="1"/>
        <v>3614.05</v>
      </c>
      <c r="G13" s="100">
        <f t="shared" si="1"/>
        <v>442.05</v>
      </c>
      <c r="H13" s="100">
        <f t="shared" si="1"/>
        <v>3172</v>
      </c>
      <c r="I13" s="100">
        <f t="shared" si="1"/>
        <v>0</v>
      </c>
      <c r="J13" s="533">
        <f t="shared" si="1"/>
        <v>3172</v>
      </c>
      <c r="K13" s="533">
        <f t="shared" si="1"/>
        <v>3172</v>
      </c>
      <c r="L13" s="533">
        <f t="shared" si="1"/>
        <v>0</v>
      </c>
      <c r="M13" s="100">
        <f t="shared" si="1"/>
        <v>3614.05</v>
      </c>
      <c r="N13" s="397"/>
      <c r="O13" s="4"/>
      <c r="P13" s="17"/>
    </row>
    <row r="14" spans="1:16" ht="15" customHeight="1">
      <c r="A14" s="13" t="s">
        <v>51</v>
      </c>
      <c r="B14" s="66" t="s">
        <v>68</v>
      </c>
      <c r="C14" s="106"/>
      <c r="D14" s="109"/>
      <c r="E14" s="106"/>
      <c r="F14" s="109"/>
      <c r="G14" s="105"/>
      <c r="H14" s="105"/>
      <c r="I14" s="106"/>
      <c r="J14" s="266"/>
      <c r="K14" s="266"/>
      <c r="L14" s="530">
        <f t="shared" si="0"/>
        <v>0</v>
      </c>
      <c r="M14" s="518"/>
      <c r="N14" s="397"/>
      <c r="O14" s="4"/>
      <c r="P14" s="17"/>
    </row>
    <row r="15" spans="1:16" ht="60" customHeight="1">
      <c r="A15" s="20" t="s">
        <v>52</v>
      </c>
      <c r="B15" s="67" t="s">
        <v>126</v>
      </c>
      <c r="C15" s="108">
        <v>8100</v>
      </c>
      <c r="D15" s="134">
        <v>833.28</v>
      </c>
      <c r="E15" s="108">
        <f>SUM(C15:D15)</f>
        <v>8933.28</v>
      </c>
      <c r="F15" s="134">
        <f>2500+2500+3933.28</f>
        <v>8933.28</v>
      </c>
      <c r="G15" s="107">
        <v>2500</v>
      </c>
      <c r="H15" s="107">
        <f>F15-G15</f>
        <v>6433.280000000001</v>
      </c>
      <c r="I15" s="108">
        <f>E15-F15</f>
        <v>0</v>
      </c>
      <c r="J15" s="264">
        <f>2500+3933.28</f>
        <v>6433.280000000001</v>
      </c>
      <c r="K15" s="264">
        <f>3933.28+2500</f>
        <v>6433.280000000001</v>
      </c>
      <c r="L15" s="530">
        <f t="shared" si="0"/>
        <v>0</v>
      </c>
      <c r="M15" s="511">
        <f>G15+K15</f>
        <v>8933.28</v>
      </c>
      <c r="N15" s="397"/>
      <c r="O15" s="4"/>
      <c r="P15" s="17"/>
    </row>
    <row r="16" spans="1:16" ht="29.25" customHeight="1">
      <c r="A16" s="20" t="s">
        <v>53</v>
      </c>
      <c r="B16" s="67" t="s">
        <v>127</v>
      </c>
      <c r="D16" s="97">
        <v>0</v>
      </c>
      <c r="E16" s="99">
        <f>SUM(C16:D16)</f>
        <v>0</v>
      </c>
      <c r="F16" s="97">
        <v>0</v>
      </c>
      <c r="G16" s="98">
        <v>0</v>
      </c>
      <c r="H16" s="98">
        <f>F16-G16</f>
        <v>0</v>
      </c>
      <c r="I16" s="108">
        <f>E16-F16</f>
        <v>0</v>
      </c>
      <c r="J16" s="265">
        <v>0</v>
      </c>
      <c r="K16" s="265">
        <v>0</v>
      </c>
      <c r="L16" s="530">
        <f t="shared" si="0"/>
        <v>0</v>
      </c>
      <c r="M16" s="510">
        <f>G16+K16</f>
        <v>0</v>
      </c>
      <c r="N16" s="397"/>
      <c r="O16" s="4"/>
      <c r="P16" s="17"/>
    </row>
    <row r="17" spans="1:16" ht="29.25" customHeight="1">
      <c r="A17" s="163" t="s">
        <v>54</v>
      </c>
      <c r="B17" s="67" t="s">
        <v>275</v>
      </c>
      <c r="C17" s="99">
        <v>0</v>
      </c>
      <c r="D17" s="97">
        <f>7500+3750+7505.54</f>
        <v>18755.54</v>
      </c>
      <c r="E17" s="99">
        <f>SUM(C17:D17)</f>
        <v>18755.54</v>
      </c>
      <c r="F17" s="97">
        <v>18755.54</v>
      </c>
      <c r="G17" s="98">
        <v>18755.54</v>
      </c>
      <c r="H17" s="98">
        <f>F17-G17</f>
        <v>0</v>
      </c>
      <c r="I17" s="108">
        <f>E17-F17</f>
        <v>0</v>
      </c>
      <c r="J17" s="265">
        <v>0</v>
      </c>
      <c r="K17" s="265">
        <v>0</v>
      </c>
      <c r="L17" s="530">
        <f t="shared" si="0"/>
        <v>0</v>
      </c>
      <c r="M17" s="510">
        <f>G17+K17</f>
        <v>18755.54</v>
      </c>
      <c r="N17" s="397"/>
      <c r="O17" s="4"/>
      <c r="P17" s="17"/>
    </row>
    <row r="18" spans="1:16" ht="13.5" customHeight="1">
      <c r="A18" s="163" t="s">
        <v>274</v>
      </c>
      <c r="B18" s="67" t="s">
        <v>128</v>
      </c>
      <c r="C18" s="292">
        <v>0</v>
      </c>
      <c r="D18" s="46"/>
      <c r="E18" s="279"/>
      <c r="F18" s="46"/>
      <c r="G18" s="212"/>
      <c r="H18" s="212"/>
      <c r="I18" s="285"/>
      <c r="J18" s="286"/>
      <c r="K18" s="286"/>
      <c r="L18" s="530">
        <f t="shared" si="0"/>
        <v>0</v>
      </c>
      <c r="M18" s="6"/>
      <c r="N18" s="397"/>
      <c r="O18" s="4"/>
      <c r="P18" s="17"/>
    </row>
    <row r="19" spans="1:16" ht="15" customHeight="1">
      <c r="A19" s="9"/>
      <c r="B19" s="68" t="s">
        <v>185</v>
      </c>
      <c r="C19" s="100">
        <f>SUM(C15:C18)</f>
        <v>8100</v>
      </c>
      <c r="D19" s="100">
        <f aca="true" t="shared" si="2" ref="D19:M19">SUM(D15:D18)</f>
        <v>19588.82</v>
      </c>
      <c r="E19" s="100">
        <f t="shared" si="2"/>
        <v>27688.82</v>
      </c>
      <c r="F19" s="100">
        <f t="shared" si="2"/>
        <v>27688.82</v>
      </c>
      <c r="G19" s="100">
        <f t="shared" si="2"/>
        <v>21255.54</v>
      </c>
      <c r="H19" s="100">
        <f t="shared" si="2"/>
        <v>6433.280000000001</v>
      </c>
      <c r="I19" s="100">
        <f t="shared" si="2"/>
        <v>0</v>
      </c>
      <c r="J19" s="533">
        <f t="shared" si="2"/>
        <v>6433.280000000001</v>
      </c>
      <c r="K19" s="533">
        <f t="shared" si="2"/>
        <v>6433.280000000001</v>
      </c>
      <c r="L19" s="533">
        <f t="shared" si="2"/>
        <v>0</v>
      </c>
      <c r="M19" s="100">
        <f t="shared" si="2"/>
        <v>27688.82</v>
      </c>
      <c r="N19" s="397"/>
      <c r="O19" s="4"/>
      <c r="P19" s="17"/>
    </row>
    <row r="20" spans="1:16" ht="15" customHeight="1">
      <c r="A20" s="13" t="s">
        <v>55</v>
      </c>
      <c r="B20" s="66" t="s">
        <v>129</v>
      </c>
      <c r="C20" s="106"/>
      <c r="D20" s="109"/>
      <c r="E20" s="106"/>
      <c r="F20" s="109"/>
      <c r="G20" s="105"/>
      <c r="H20" s="105"/>
      <c r="I20" s="106"/>
      <c r="J20" s="266"/>
      <c r="K20" s="266"/>
      <c r="L20" s="530">
        <f t="shared" si="0"/>
        <v>0</v>
      </c>
      <c r="M20" s="518"/>
      <c r="N20" s="397"/>
      <c r="O20" s="4"/>
      <c r="P20" s="17"/>
    </row>
    <row r="21" spans="1:16" ht="13.5" customHeight="1">
      <c r="A21" s="20" t="s">
        <v>56</v>
      </c>
      <c r="B21" s="67" t="s">
        <v>130</v>
      </c>
      <c r="C21" s="111"/>
      <c r="D21" s="97"/>
      <c r="E21" s="111"/>
      <c r="F21" s="110"/>
      <c r="G21" s="135"/>
      <c r="H21" s="135"/>
      <c r="I21" s="111"/>
      <c r="J21" s="267"/>
      <c r="K21" s="267"/>
      <c r="L21" s="530">
        <f t="shared" si="0"/>
        <v>0</v>
      </c>
      <c r="M21" s="512"/>
      <c r="N21" s="397"/>
      <c r="O21" s="4"/>
      <c r="P21" s="17"/>
    </row>
    <row r="22" spans="1:16" ht="27" customHeight="1">
      <c r="A22" s="20" t="s">
        <v>57</v>
      </c>
      <c r="B22" s="67" t="s">
        <v>69</v>
      </c>
      <c r="C22" s="136">
        <v>250</v>
      </c>
      <c r="D22" s="280">
        <v>0</v>
      </c>
      <c r="E22" s="108">
        <f>C22+D22</f>
        <v>250</v>
      </c>
      <c r="F22" s="134">
        <v>119.1</v>
      </c>
      <c r="G22" s="107">
        <v>119.1</v>
      </c>
      <c r="H22" s="107">
        <f>F22-G22</f>
        <v>0</v>
      </c>
      <c r="I22" s="99">
        <f>E22-F22</f>
        <v>130.9</v>
      </c>
      <c r="J22" s="264">
        <v>0</v>
      </c>
      <c r="K22" s="264">
        <v>0</v>
      </c>
      <c r="L22" s="530">
        <f t="shared" si="0"/>
        <v>0</v>
      </c>
      <c r="M22" s="511">
        <f>G22+K22</f>
        <v>119.1</v>
      </c>
      <c r="N22" s="397"/>
      <c r="O22" s="4"/>
      <c r="P22" s="4"/>
    </row>
    <row r="23" spans="1:15" s="4" customFormat="1" ht="12" customHeight="1">
      <c r="A23" s="14" t="s">
        <v>58</v>
      </c>
      <c r="B23" s="67" t="s">
        <v>71</v>
      </c>
      <c r="C23" s="99">
        <v>250</v>
      </c>
      <c r="D23" s="97">
        <v>0</v>
      </c>
      <c r="E23" s="108">
        <f aca="true" t="shared" si="3" ref="E23:E32">C23+D23</f>
        <v>250</v>
      </c>
      <c r="F23" s="97">
        <v>135.9</v>
      </c>
      <c r="G23" s="98">
        <v>135.9</v>
      </c>
      <c r="H23" s="107">
        <f aca="true" t="shared" si="4" ref="H23:H32">F23-G23</f>
        <v>0</v>
      </c>
      <c r="I23" s="99">
        <f aca="true" t="shared" si="5" ref="I23:I32">E23-F23</f>
        <v>114.1</v>
      </c>
      <c r="J23" s="265">
        <v>0</v>
      </c>
      <c r="K23" s="265">
        <v>0</v>
      </c>
      <c r="L23" s="530">
        <f t="shared" si="0"/>
        <v>0</v>
      </c>
      <c r="M23" s="511">
        <f>G23+K23</f>
        <v>135.9</v>
      </c>
      <c r="N23" s="397"/>
      <c r="O23" s="1"/>
    </row>
    <row r="24" spans="1:14" ht="13.5" customHeight="1">
      <c r="A24" s="9" t="s">
        <v>65</v>
      </c>
      <c r="B24" s="67" t="s">
        <v>72</v>
      </c>
      <c r="C24" s="99">
        <v>0</v>
      </c>
      <c r="D24" s="97">
        <v>0</v>
      </c>
      <c r="E24" s="108">
        <f t="shared" si="3"/>
        <v>0</v>
      </c>
      <c r="F24" s="97">
        <v>0</v>
      </c>
      <c r="G24" s="98">
        <f>SUM(E24:F24)</f>
        <v>0</v>
      </c>
      <c r="H24" s="107">
        <f t="shared" si="4"/>
        <v>0</v>
      </c>
      <c r="I24" s="99">
        <f t="shared" si="5"/>
        <v>0</v>
      </c>
      <c r="J24" s="265">
        <v>0</v>
      </c>
      <c r="K24" s="265">
        <v>0</v>
      </c>
      <c r="L24" s="530">
        <f t="shared" si="0"/>
        <v>0</v>
      </c>
      <c r="M24" s="511">
        <f>G24+K24</f>
        <v>0</v>
      </c>
      <c r="N24" s="397"/>
    </row>
    <row r="25" spans="1:14" ht="13.5" customHeight="1">
      <c r="A25" s="9" t="s">
        <v>66</v>
      </c>
      <c r="B25" s="67" t="s">
        <v>70</v>
      </c>
      <c r="C25" s="99">
        <v>0</v>
      </c>
      <c r="D25" s="97">
        <v>0</v>
      </c>
      <c r="E25" s="108">
        <f t="shared" si="3"/>
        <v>0</v>
      </c>
      <c r="F25" s="97">
        <v>0</v>
      </c>
      <c r="G25" s="98">
        <v>0</v>
      </c>
      <c r="H25" s="107">
        <f t="shared" si="4"/>
        <v>0</v>
      </c>
      <c r="I25" s="99">
        <f t="shared" si="5"/>
        <v>0</v>
      </c>
      <c r="J25" s="265">
        <v>0</v>
      </c>
      <c r="K25" s="265">
        <v>0</v>
      </c>
      <c r="L25" s="530">
        <f t="shared" si="0"/>
        <v>0</v>
      </c>
      <c r="M25" s="511">
        <f>G25+K25</f>
        <v>0</v>
      </c>
      <c r="N25" s="397"/>
    </row>
    <row r="26" spans="1:14" ht="13.5" customHeight="1">
      <c r="A26" s="9" t="s">
        <v>67</v>
      </c>
      <c r="B26" s="67" t="s">
        <v>73</v>
      </c>
      <c r="C26" s="99">
        <f>SUM(A24:B24)</f>
        <v>0</v>
      </c>
      <c r="D26" s="97">
        <v>0</v>
      </c>
      <c r="E26" s="108">
        <f t="shared" si="3"/>
        <v>0</v>
      </c>
      <c r="F26" s="97">
        <v>0</v>
      </c>
      <c r="G26" s="98">
        <v>0</v>
      </c>
      <c r="H26" s="107">
        <f t="shared" si="4"/>
        <v>0</v>
      </c>
      <c r="I26" s="99">
        <f t="shared" si="5"/>
        <v>0</v>
      </c>
      <c r="J26" s="265">
        <v>0</v>
      </c>
      <c r="K26" s="265">
        <v>0</v>
      </c>
      <c r="L26" s="530">
        <f t="shared" si="0"/>
        <v>0</v>
      </c>
      <c r="M26" s="511">
        <f aca="true" t="shared" si="6" ref="M26:M32">G26+K26</f>
        <v>0</v>
      </c>
      <c r="N26" s="397"/>
    </row>
    <row r="27" spans="1:14" ht="13.5" customHeight="1">
      <c r="A27" s="20" t="s">
        <v>131</v>
      </c>
      <c r="B27" s="67" t="s">
        <v>186</v>
      </c>
      <c r="C27" s="99">
        <v>0</v>
      </c>
      <c r="D27" s="97">
        <v>0</v>
      </c>
      <c r="E27" s="108">
        <f t="shared" si="3"/>
        <v>0</v>
      </c>
      <c r="F27" s="97">
        <v>0</v>
      </c>
      <c r="G27" s="98">
        <v>0</v>
      </c>
      <c r="H27" s="107">
        <f t="shared" si="4"/>
        <v>0</v>
      </c>
      <c r="I27" s="99">
        <f t="shared" si="5"/>
        <v>0</v>
      </c>
      <c r="J27" s="265">
        <v>0</v>
      </c>
      <c r="K27" s="265">
        <v>0</v>
      </c>
      <c r="L27" s="530">
        <f t="shared" si="0"/>
        <v>0</v>
      </c>
      <c r="M27" s="511">
        <f t="shared" si="6"/>
        <v>0</v>
      </c>
      <c r="N27" s="397"/>
    </row>
    <row r="28" spans="1:14" ht="13.5" customHeight="1">
      <c r="A28" s="20" t="s">
        <v>132</v>
      </c>
      <c r="B28" s="67" t="s">
        <v>157</v>
      </c>
      <c r="C28" s="99">
        <f>SUM(A26:B26)</f>
        <v>0</v>
      </c>
      <c r="D28" s="97">
        <v>0</v>
      </c>
      <c r="E28" s="108">
        <f t="shared" si="3"/>
        <v>0</v>
      </c>
      <c r="F28" s="97">
        <v>0</v>
      </c>
      <c r="G28" s="98">
        <v>0</v>
      </c>
      <c r="H28" s="107">
        <f t="shared" si="4"/>
        <v>0</v>
      </c>
      <c r="I28" s="99">
        <f t="shared" si="5"/>
        <v>0</v>
      </c>
      <c r="J28" s="265">
        <v>0</v>
      </c>
      <c r="K28" s="265">
        <v>0</v>
      </c>
      <c r="L28" s="530">
        <f t="shared" si="0"/>
        <v>0</v>
      </c>
      <c r="M28" s="511">
        <f t="shared" si="6"/>
        <v>0</v>
      </c>
      <c r="N28" s="397"/>
    </row>
    <row r="29" spans="1:13" ht="13.5" customHeight="1">
      <c r="A29" s="14" t="s">
        <v>133</v>
      </c>
      <c r="B29" s="67" t="s">
        <v>187</v>
      </c>
      <c r="C29" s="99">
        <f>SUM(A27:B27)</f>
        <v>0</v>
      </c>
      <c r="D29" s="97">
        <v>0</v>
      </c>
      <c r="E29" s="108">
        <f t="shared" si="3"/>
        <v>0</v>
      </c>
      <c r="F29" s="97">
        <v>0</v>
      </c>
      <c r="G29" s="98">
        <v>0</v>
      </c>
      <c r="H29" s="107">
        <f t="shared" si="4"/>
        <v>0</v>
      </c>
      <c r="I29" s="99">
        <f t="shared" si="5"/>
        <v>0</v>
      </c>
      <c r="J29" s="265">
        <v>0</v>
      </c>
      <c r="K29" s="265">
        <v>0</v>
      </c>
      <c r="L29" s="530">
        <f t="shared" si="0"/>
        <v>0</v>
      </c>
      <c r="M29" s="511">
        <f t="shared" si="6"/>
        <v>0</v>
      </c>
    </row>
    <row r="30" spans="1:13" ht="13.5" customHeight="1">
      <c r="A30" s="9" t="s">
        <v>134</v>
      </c>
      <c r="B30" s="67" t="s">
        <v>74</v>
      </c>
      <c r="C30" s="99">
        <f>SUM(A28:B28)</f>
        <v>0</v>
      </c>
      <c r="D30" s="97">
        <v>0</v>
      </c>
      <c r="E30" s="108">
        <f t="shared" si="3"/>
        <v>0</v>
      </c>
      <c r="F30" s="97">
        <v>0</v>
      </c>
      <c r="G30" s="98">
        <v>0</v>
      </c>
      <c r="H30" s="107">
        <f t="shared" si="4"/>
        <v>0</v>
      </c>
      <c r="I30" s="99">
        <f t="shared" si="5"/>
        <v>0</v>
      </c>
      <c r="J30" s="265">
        <v>0</v>
      </c>
      <c r="K30" s="265">
        <v>0</v>
      </c>
      <c r="L30" s="530">
        <f t="shared" si="0"/>
        <v>0</v>
      </c>
      <c r="M30" s="511">
        <f t="shared" si="6"/>
        <v>0</v>
      </c>
    </row>
    <row r="31" spans="1:13" ht="13.5" customHeight="1">
      <c r="A31" s="9" t="s">
        <v>135</v>
      </c>
      <c r="B31" s="67" t="s">
        <v>158</v>
      </c>
      <c r="C31" s="99">
        <v>450</v>
      </c>
      <c r="D31" s="97">
        <v>0</v>
      </c>
      <c r="E31" s="108">
        <f t="shared" si="3"/>
        <v>450</v>
      </c>
      <c r="F31" s="97">
        <v>103.17</v>
      </c>
      <c r="G31" s="98">
        <v>103.17</v>
      </c>
      <c r="H31" s="107">
        <f t="shared" si="4"/>
        <v>0</v>
      </c>
      <c r="I31" s="99">
        <f t="shared" si="5"/>
        <v>346.83</v>
      </c>
      <c r="J31" s="265">
        <v>0</v>
      </c>
      <c r="K31" s="265">
        <v>0</v>
      </c>
      <c r="L31" s="530">
        <f t="shared" si="0"/>
        <v>0</v>
      </c>
      <c r="M31" s="511">
        <f t="shared" si="6"/>
        <v>103.17</v>
      </c>
    </row>
    <row r="32" spans="1:13" ht="13.5" customHeight="1">
      <c r="A32" s="9" t="s">
        <v>136</v>
      </c>
      <c r="B32" s="67" t="s">
        <v>159</v>
      </c>
      <c r="C32" s="99">
        <v>0</v>
      </c>
      <c r="D32" s="281">
        <v>0</v>
      </c>
      <c r="E32" s="108">
        <f t="shared" si="3"/>
        <v>0</v>
      </c>
      <c r="F32" s="97">
        <v>0</v>
      </c>
      <c r="G32" s="98">
        <v>0</v>
      </c>
      <c r="H32" s="107">
        <f t="shared" si="4"/>
        <v>0</v>
      </c>
      <c r="I32" s="99">
        <f t="shared" si="5"/>
        <v>0</v>
      </c>
      <c r="J32" s="265">
        <v>0</v>
      </c>
      <c r="K32" s="265">
        <v>0</v>
      </c>
      <c r="L32" s="530">
        <f t="shared" si="0"/>
        <v>0</v>
      </c>
      <c r="M32" s="511">
        <f t="shared" si="6"/>
        <v>0</v>
      </c>
    </row>
    <row r="33" spans="1:13" ht="15" customHeight="1" thickBot="1">
      <c r="A33" s="8"/>
      <c r="B33" s="68" t="s">
        <v>137</v>
      </c>
      <c r="C33" s="137">
        <f>SUM(C22:C32)</f>
        <v>950</v>
      </c>
      <c r="D33" s="137">
        <f aca="true" t="shared" si="7" ref="D33:M33">SUM(D22:D32)</f>
        <v>0</v>
      </c>
      <c r="E33" s="137">
        <f t="shared" si="7"/>
        <v>950</v>
      </c>
      <c r="F33" s="137">
        <f t="shared" si="7"/>
        <v>358.17</v>
      </c>
      <c r="G33" s="137">
        <f t="shared" si="7"/>
        <v>358.17</v>
      </c>
      <c r="H33" s="137">
        <f t="shared" si="7"/>
        <v>0</v>
      </c>
      <c r="I33" s="137">
        <f t="shared" si="7"/>
        <v>591.8299999999999</v>
      </c>
      <c r="J33" s="534">
        <f t="shared" si="7"/>
        <v>0</v>
      </c>
      <c r="K33" s="534">
        <f t="shared" si="7"/>
        <v>0</v>
      </c>
      <c r="L33" s="534">
        <f t="shared" si="7"/>
        <v>0</v>
      </c>
      <c r="M33" s="137">
        <f t="shared" si="7"/>
        <v>358.17</v>
      </c>
    </row>
    <row r="34" spans="1:13" ht="15" customHeight="1">
      <c r="A34" s="13" t="s">
        <v>59</v>
      </c>
      <c r="B34" s="66" t="s">
        <v>80</v>
      </c>
      <c r="C34" s="115"/>
      <c r="D34" s="109"/>
      <c r="E34" s="106"/>
      <c r="F34" s="112"/>
      <c r="G34" s="114"/>
      <c r="H34" s="114"/>
      <c r="I34" s="115"/>
      <c r="J34" s="266"/>
      <c r="K34" s="266"/>
      <c r="L34" s="530">
        <f t="shared" si="0"/>
        <v>0</v>
      </c>
      <c r="M34" s="520"/>
    </row>
    <row r="35" spans="1:13" ht="27" customHeight="1">
      <c r="A35" s="20" t="s">
        <v>60</v>
      </c>
      <c r="B35" s="67" t="s">
        <v>138</v>
      </c>
      <c r="C35" s="108">
        <v>0</v>
      </c>
      <c r="D35" s="134">
        <f>38.53</f>
        <v>38.53</v>
      </c>
      <c r="E35" s="108">
        <f>SUM(C35:D35)</f>
        <v>38.53</v>
      </c>
      <c r="F35" s="134">
        <v>38.53</v>
      </c>
      <c r="G35" s="107">
        <v>38.53</v>
      </c>
      <c r="H35" s="107">
        <f>F35-G35</f>
        <v>0</v>
      </c>
      <c r="I35" s="108">
        <f>E35-F35</f>
        <v>0</v>
      </c>
      <c r="J35" s="264">
        <v>0</v>
      </c>
      <c r="K35" s="264">
        <v>0</v>
      </c>
      <c r="L35" s="530">
        <f t="shared" si="0"/>
        <v>0</v>
      </c>
      <c r="M35" s="519">
        <f>G35+K35</f>
        <v>38.53</v>
      </c>
    </row>
    <row r="36" spans="1:13" ht="27" customHeight="1">
      <c r="A36" s="9" t="s">
        <v>242</v>
      </c>
      <c r="B36" s="67" t="s">
        <v>243</v>
      </c>
      <c r="C36" s="108">
        <v>100</v>
      </c>
      <c r="D36" s="134">
        <f>12.05</f>
        <v>12.05</v>
      </c>
      <c r="E36" s="108">
        <f>SUM(C36:D36)</f>
        <v>112.05</v>
      </c>
      <c r="F36" s="134">
        <f>106.2+5.85</f>
        <v>112.05</v>
      </c>
      <c r="G36" s="107">
        <v>106.2</v>
      </c>
      <c r="H36" s="107">
        <f>F36-G36</f>
        <v>5.849999999999994</v>
      </c>
      <c r="I36" s="108">
        <f>E36-F36</f>
        <v>0</v>
      </c>
      <c r="J36" s="264">
        <v>0</v>
      </c>
      <c r="K36" s="264">
        <v>0</v>
      </c>
      <c r="L36" s="530">
        <f t="shared" si="0"/>
        <v>0</v>
      </c>
      <c r="M36" s="519">
        <f>G36+K36</f>
        <v>106.2</v>
      </c>
    </row>
    <row r="37" spans="1:13" ht="15" customHeight="1">
      <c r="A37" s="9"/>
      <c r="B37" s="68" t="s">
        <v>139</v>
      </c>
      <c r="C37" s="100">
        <f>SUM(C35:C36)</f>
        <v>100</v>
      </c>
      <c r="D37" s="100">
        <f aca="true" t="shared" si="8" ref="D37:M37">SUM(D35:D36)</f>
        <v>50.58</v>
      </c>
      <c r="E37" s="100">
        <f t="shared" si="8"/>
        <v>150.57999999999998</v>
      </c>
      <c r="F37" s="100">
        <f t="shared" si="8"/>
        <v>150.57999999999998</v>
      </c>
      <c r="G37" s="100">
        <f t="shared" si="8"/>
        <v>144.73000000000002</v>
      </c>
      <c r="H37" s="100">
        <f t="shared" si="8"/>
        <v>5.849999999999994</v>
      </c>
      <c r="I37" s="100">
        <f t="shared" si="8"/>
        <v>0</v>
      </c>
      <c r="J37" s="533">
        <f t="shared" si="8"/>
        <v>0</v>
      </c>
      <c r="K37" s="533">
        <f t="shared" si="8"/>
        <v>0</v>
      </c>
      <c r="L37" s="533">
        <f t="shared" si="8"/>
        <v>0</v>
      </c>
      <c r="M37" s="100">
        <f t="shared" si="8"/>
        <v>144.73000000000002</v>
      </c>
    </row>
    <row r="38" spans="1:13" ht="15" customHeight="1">
      <c r="A38" s="13" t="s">
        <v>140</v>
      </c>
      <c r="B38" s="66" t="s">
        <v>81</v>
      </c>
      <c r="C38" s="115"/>
      <c r="D38" s="109"/>
      <c r="E38" s="106"/>
      <c r="F38" s="112"/>
      <c r="G38" s="114"/>
      <c r="H38" s="114"/>
      <c r="I38" s="115"/>
      <c r="J38" s="266"/>
      <c r="K38" s="266"/>
      <c r="L38" s="530">
        <f t="shared" si="0"/>
        <v>0</v>
      </c>
      <c r="M38" s="520"/>
    </row>
    <row r="39" spans="1:13" ht="13.5" customHeight="1">
      <c r="A39" s="20" t="s">
        <v>141</v>
      </c>
      <c r="B39" s="67" t="s">
        <v>142</v>
      </c>
      <c r="C39" s="99">
        <v>300.8</v>
      </c>
      <c r="D39" s="97">
        <f>58+4769.06+2765.53</f>
        <v>7592.59</v>
      </c>
      <c r="E39" s="99">
        <f>SUM(C39:D39)</f>
        <v>7893.39</v>
      </c>
      <c r="F39" s="97">
        <f>7868.18+25.21</f>
        <v>7893.39</v>
      </c>
      <c r="G39" s="98">
        <v>7868.18</v>
      </c>
      <c r="H39" s="98">
        <f>F39-G39</f>
        <v>25.210000000000036</v>
      </c>
      <c r="I39" s="108">
        <f>E39-F39</f>
        <v>0</v>
      </c>
      <c r="J39" s="265">
        <v>0</v>
      </c>
      <c r="K39" s="265">
        <v>0</v>
      </c>
      <c r="L39" s="530">
        <f t="shared" si="0"/>
        <v>0</v>
      </c>
      <c r="M39" s="521">
        <f>G39+K39</f>
        <v>7868.18</v>
      </c>
    </row>
    <row r="40" spans="1:13" ht="13.5" customHeight="1">
      <c r="A40" s="20" t="s">
        <v>230</v>
      </c>
      <c r="B40" s="67" t="s">
        <v>143</v>
      </c>
      <c r="C40" s="99">
        <f>1980+1650+15400</f>
        <v>19030</v>
      </c>
      <c r="D40" s="97">
        <f>14.56+125.77+4990.25-10494.47-8000</f>
        <v>-13363.89</v>
      </c>
      <c r="E40" s="99">
        <f>SUM(C40:D40)</f>
        <v>5666.110000000001</v>
      </c>
      <c r="F40" s="97">
        <v>4910.81</v>
      </c>
      <c r="G40" s="97">
        <v>4910.81</v>
      </c>
      <c r="H40" s="98">
        <f>F40-G40</f>
        <v>0</v>
      </c>
      <c r="I40" s="108">
        <f>E40-F40</f>
        <v>755.3000000000002</v>
      </c>
      <c r="J40" s="265">
        <v>0</v>
      </c>
      <c r="K40" s="265">
        <v>0</v>
      </c>
      <c r="L40" s="530">
        <f t="shared" si="0"/>
        <v>0</v>
      </c>
      <c r="M40" s="521">
        <f>G40+K40</f>
        <v>4910.81</v>
      </c>
    </row>
    <row r="41" spans="1:13" ht="15" customHeight="1">
      <c r="A41" s="9"/>
      <c r="B41" s="68" t="s">
        <v>145</v>
      </c>
      <c r="C41" s="100">
        <f>SUM(C39:C40)</f>
        <v>19330.8</v>
      </c>
      <c r="D41" s="100">
        <f aca="true" t="shared" si="9" ref="D41:M41">SUM(D39:D40)</f>
        <v>-5771.299999999999</v>
      </c>
      <c r="E41" s="100">
        <f t="shared" si="9"/>
        <v>13559.5</v>
      </c>
      <c r="F41" s="100">
        <f t="shared" si="9"/>
        <v>12804.2</v>
      </c>
      <c r="G41" s="100">
        <f t="shared" si="9"/>
        <v>12778.990000000002</v>
      </c>
      <c r="H41" s="100">
        <f t="shared" si="9"/>
        <v>25.210000000000036</v>
      </c>
      <c r="I41" s="100">
        <f t="shared" si="9"/>
        <v>755.3000000000002</v>
      </c>
      <c r="J41" s="533">
        <f t="shared" si="9"/>
        <v>0</v>
      </c>
      <c r="K41" s="533">
        <f t="shared" si="9"/>
        <v>0</v>
      </c>
      <c r="L41" s="533">
        <f t="shared" si="9"/>
        <v>0</v>
      </c>
      <c r="M41" s="100">
        <f t="shared" si="9"/>
        <v>12778.990000000002</v>
      </c>
    </row>
    <row r="42" spans="1:13" ht="15" customHeight="1">
      <c r="A42" s="13" t="s">
        <v>144</v>
      </c>
      <c r="B42" s="66" t="s">
        <v>146</v>
      </c>
      <c r="C42" s="115"/>
      <c r="D42" s="109"/>
      <c r="E42" s="106"/>
      <c r="F42" s="112"/>
      <c r="G42" s="114"/>
      <c r="H42" s="114"/>
      <c r="I42" s="115"/>
      <c r="J42" s="266"/>
      <c r="K42" s="266"/>
      <c r="L42" s="530">
        <f t="shared" si="0"/>
        <v>0</v>
      </c>
      <c r="M42" s="520"/>
    </row>
    <row r="43" spans="1:13" ht="13.5" customHeight="1">
      <c r="A43" s="20" t="s">
        <v>147</v>
      </c>
      <c r="B43" s="67" t="s">
        <v>188</v>
      </c>
      <c r="C43" s="99">
        <v>0</v>
      </c>
      <c r="D43" s="97">
        <f>7500+12977</f>
        <v>20477</v>
      </c>
      <c r="E43" s="99">
        <f>SUM(C43:D43)</f>
        <v>20477</v>
      </c>
      <c r="F43" s="97">
        <f>13719.25</f>
        <v>13719.25</v>
      </c>
      <c r="G43" s="98">
        <v>13719.25</v>
      </c>
      <c r="H43" s="98">
        <f>F43-G43</f>
        <v>0</v>
      </c>
      <c r="I43" s="108">
        <f>E43-F43</f>
        <v>6757.75</v>
      </c>
      <c r="J43" s="265">
        <v>0</v>
      </c>
      <c r="K43" s="265">
        <v>0</v>
      </c>
      <c r="L43" s="530">
        <f t="shared" si="0"/>
        <v>0</v>
      </c>
      <c r="M43" s="521">
        <f>G43+K43</f>
        <v>13719.25</v>
      </c>
    </row>
    <row r="44" spans="1:13" ht="15" customHeight="1">
      <c r="A44" s="9"/>
      <c r="B44" s="68" t="s">
        <v>148</v>
      </c>
      <c r="C44" s="100">
        <f>SUM(C43)</f>
        <v>0</v>
      </c>
      <c r="D44" s="100">
        <f aca="true" t="shared" si="10" ref="D44:M44">SUM(D43)</f>
        <v>20477</v>
      </c>
      <c r="E44" s="100">
        <f t="shared" si="10"/>
        <v>20477</v>
      </c>
      <c r="F44" s="100">
        <f t="shared" si="10"/>
        <v>13719.25</v>
      </c>
      <c r="G44" s="100">
        <f t="shared" si="10"/>
        <v>13719.25</v>
      </c>
      <c r="H44" s="100">
        <f t="shared" si="10"/>
        <v>0</v>
      </c>
      <c r="I44" s="100">
        <f t="shared" si="10"/>
        <v>6757.75</v>
      </c>
      <c r="J44" s="533">
        <f t="shared" si="10"/>
        <v>0</v>
      </c>
      <c r="K44" s="533">
        <f t="shared" si="10"/>
        <v>0</v>
      </c>
      <c r="L44" s="533">
        <f t="shared" si="10"/>
        <v>0</v>
      </c>
      <c r="M44" s="100">
        <f t="shared" si="10"/>
        <v>13719.25</v>
      </c>
    </row>
    <row r="45" spans="1:13" ht="15" customHeight="1">
      <c r="A45" s="13" t="s">
        <v>149</v>
      </c>
      <c r="B45" s="66" t="s">
        <v>82</v>
      </c>
      <c r="C45" s="115"/>
      <c r="D45" s="109"/>
      <c r="E45" s="106"/>
      <c r="F45" s="112"/>
      <c r="G45" s="114"/>
      <c r="H45" s="114"/>
      <c r="I45" s="115"/>
      <c r="J45" s="266"/>
      <c r="K45" s="266"/>
      <c r="L45" s="530">
        <f t="shared" si="0"/>
        <v>0</v>
      </c>
      <c r="M45" s="520"/>
    </row>
    <row r="46" spans="1:13" ht="13.5" customHeight="1">
      <c r="A46" s="20" t="s">
        <v>152</v>
      </c>
      <c r="B46" s="67" t="s">
        <v>150</v>
      </c>
      <c r="C46" s="99">
        <v>0</v>
      </c>
      <c r="D46" s="97">
        <v>57.42</v>
      </c>
      <c r="E46" s="99">
        <f>SUM(C46:D46)</f>
        <v>57.42</v>
      </c>
      <c r="F46" s="97">
        <v>57.42</v>
      </c>
      <c r="G46" s="98">
        <v>57.42</v>
      </c>
      <c r="H46" s="98">
        <f>F46-G46</f>
        <v>0</v>
      </c>
      <c r="I46" s="108">
        <f>E46-F46</f>
        <v>0</v>
      </c>
      <c r="J46" s="265">
        <v>0</v>
      </c>
      <c r="K46" s="265">
        <v>0</v>
      </c>
      <c r="L46" s="530">
        <f t="shared" si="0"/>
        <v>0</v>
      </c>
      <c r="M46" s="521">
        <f>G46+K46</f>
        <v>57.42</v>
      </c>
    </row>
    <row r="47" spans="1:14" ht="30" customHeight="1">
      <c r="A47" s="20" t="s">
        <v>153</v>
      </c>
      <c r="B47" s="67" t="s">
        <v>151</v>
      </c>
      <c r="C47" s="99">
        <v>486.13</v>
      </c>
      <c r="D47" s="97">
        <f>3.31+1.64+28.58+4122.55+198.31+0.67-201.06+1.06+0.98+1134.15-5776.32</f>
        <v>-486.1299999999992</v>
      </c>
      <c r="E47" s="99">
        <f>SUM(C47:D47)</f>
        <v>7.958078640513122E-13</v>
      </c>
      <c r="F47" s="97">
        <v>0</v>
      </c>
      <c r="G47" s="98">
        <v>0</v>
      </c>
      <c r="H47" s="98">
        <f>F47-G47</f>
        <v>0</v>
      </c>
      <c r="I47" s="99">
        <f>E47-F47</f>
        <v>7.958078640513122E-13</v>
      </c>
      <c r="J47" s="265">
        <v>0</v>
      </c>
      <c r="K47" s="265">
        <v>0</v>
      </c>
      <c r="L47" s="530">
        <f t="shared" si="0"/>
        <v>0</v>
      </c>
      <c r="M47" s="521">
        <f>G47+K47</f>
        <v>0</v>
      </c>
      <c r="N47" s="258"/>
    </row>
    <row r="48" spans="1:13" ht="15" customHeight="1">
      <c r="A48" s="68"/>
      <c r="B48" s="68" t="s">
        <v>154</v>
      </c>
      <c r="C48" s="100">
        <f>SUM(C46:C47)</f>
        <v>486.13</v>
      </c>
      <c r="D48" s="100">
        <f aca="true" t="shared" si="11" ref="D48:M48">SUM(D46:D47)</f>
        <v>-428.7099999999992</v>
      </c>
      <c r="E48" s="100">
        <f t="shared" si="11"/>
        <v>57.4200000000008</v>
      </c>
      <c r="F48" s="100">
        <f t="shared" si="11"/>
        <v>57.42</v>
      </c>
      <c r="G48" s="100">
        <f t="shared" si="11"/>
        <v>57.42</v>
      </c>
      <c r="H48" s="100">
        <f t="shared" si="11"/>
        <v>0</v>
      </c>
      <c r="I48" s="100">
        <f t="shared" si="11"/>
        <v>7.958078640513122E-13</v>
      </c>
      <c r="J48" s="533">
        <f t="shared" si="11"/>
        <v>0</v>
      </c>
      <c r="K48" s="533">
        <f t="shared" si="11"/>
        <v>0</v>
      </c>
      <c r="L48" s="533">
        <f t="shared" si="11"/>
        <v>0</v>
      </c>
      <c r="M48" s="100">
        <f t="shared" si="11"/>
        <v>57.42</v>
      </c>
    </row>
    <row r="49" spans="1:13" ht="15" customHeight="1">
      <c r="A49" s="13" t="s">
        <v>203</v>
      </c>
      <c r="B49" s="66" t="s">
        <v>204</v>
      </c>
      <c r="C49" s="138"/>
      <c r="D49" s="282"/>
      <c r="E49" s="113"/>
      <c r="F49" s="169"/>
      <c r="G49" s="170"/>
      <c r="H49" s="170"/>
      <c r="I49" s="138"/>
      <c r="J49" s="268"/>
      <c r="K49" s="268"/>
      <c r="L49" s="530">
        <f t="shared" si="0"/>
        <v>0</v>
      </c>
      <c r="M49" s="522"/>
    </row>
    <row r="50" spans="1:13" ht="15" customHeight="1">
      <c r="A50" s="14" t="s">
        <v>205</v>
      </c>
      <c r="B50" s="67" t="s">
        <v>206</v>
      </c>
      <c r="C50" s="99">
        <v>0</v>
      </c>
      <c r="D50" s="97">
        <v>0</v>
      </c>
      <c r="E50" s="99">
        <f>SUM(C50:D50)</f>
        <v>0</v>
      </c>
      <c r="F50" s="97">
        <v>0</v>
      </c>
      <c r="G50" s="98">
        <v>0</v>
      </c>
      <c r="H50" s="98">
        <f>F50-G50</f>
        <v>0</v>
      </c>
      <c r="I50" s="99">
        <f>E50-F50</f>
        <v>0</v>
      </c>
      <c r="J50" s="265">
        <v>0</v>
      </c>
      <c r="K50" s="265">
        <v>0</v>
      </c>
      <c r="L50" s="530">
        <f t="shared" si="0"/>
        <v>0</v>
      </c>
      <c r="M50" s="521">
        <f>SUM(G50+K50)</f>
        <v>0</v>
      </c>
    </row>
    <row r="51" spans="1:13" ht="13.5">
      <c r="A51" s="14" t="s">
        <v>207</v>
      </c>
      <c r="B51" s="67" t="s">
        <v>208</v>
      </c>
      <c r="C51" s="99">
        <v>82175</v>
      </c>
      <c r="D51" s="283">
        <f>62.89+543.12+100602.34+3.15+21548.8</f>
        <v>122760.29999999999</v>
      </c>
      <c r="E51" s="171">
        <f>SUM(C51:D51)</f>
        <v>204935.3</v>
      </c>
      <c r="F51" s="134">
        <f>102955.64+'DIVISIONE COMM-ISTI'!J59</f>
        <v>115837.075</v>
      </c>
      <c r="G51" s="134">
        <f>102955.64+'DIVISIONE COMM-ISTI'!J59</f>
        <v>115837.075</v>
      </c>
      <c r="H51" s="107">
        <f>F51-G51</f>
        <v>0</v>
      </c>
      <c r="I51" s="99">
        <f>E51-F51</f>
        <v>89098.22499999999</v>
      </c>
      <c r="J51" s="264">
        <v>0</v>
      </c>
      <c r="K51" s="264">
        <v>0</v>
      </c>
      <c r="L51" s="530">
        <f t="shared" si="0"/>
        <v>0</v>
      </c>
      <c r="M51" s="519">
        <f>SUM(G51+K51)</f>
        <v>115837.075</v>
      </c>
    </row>
    <row r="52" spans="1:13" ht="15" customHeight="1">
      <c r="A52" s="68"/>
      <c r="B52" s="68" t="s">
        <v>209</v>
      </c>
      <c r="C52" s="113">
        <f>SUM(C50:C51)</f>
        <v>82175</v>
      </c>
      <c r="D52" s="113">
        <f aca="true" t="shared" si="12" ref="D52:M52">SUM(D50:D51)</f>
        <v>122760.29999999999</v>
      </c>
      <c r="E52" s="113">
        <f t="shared" si="12"/>
        <v>204935.3</v>
      </c>
      <c r="F52" s="113">
        <f t="shared" si="12"/>
        <v>115837.075</v>
      </c>
      <c r="G52" s="113">
        <f t="shared" si="12"/>
        <v>115837.075</v>
      </c>
      <c r="H52" s="113">
        <f t="shared" si="12"/>
        <v>0</v>
      </c>
      <c r="I52" s="113">
        <f t="shared" si="12"/>
        <v>89098.22499999999</v>
      </c>
      <c r="J52" s="535">
        <f t="shared" si="12"/>
        <v>0</v>
      </c>
      <c r="K52" s="535">
        <f t="shared" si="12"/>
        <v>0</v>
      </c>
      <c r="L52" s="535">
        <f t="shared" si="12"/>
        <v>0</v>
      </c>
      <c r="M52" s="113">
        <f t="shared" si="12"/>
        <v>115837.075</v>
      </c>
    </row>
    <row r="53" spans="1:14" ht="14.25" customHeight="1">
      <c r="A53" s="69"/>
      <c r="B53" s="69" t="s">
        <v>155</v>
      </c>
      <c r="C53" s="100">
        <f>C13+C19+C33+C37+C41+C44+C48+C52</f>
        <v>114341.93</v>
      </c>
      <c r="D53" s="100">
        <f aca="true" t="shared" si="13" ref="D53:M53">D13+D19+D33+D37+D41+D44+D48+D52</f>
        <v>157090.74</v>
      </c>
      <c r="E53" s="100">
        <f t="shared" si="13"/>
        <v>271432.67</v>
      </c>
      <c r="F53" s="100">
        <f t="shared" si="13"/>
        <v>174229.565</v>
      </c>
      <c r="G53" s="100">
        <f>G13+G19+G33+G37+G41+G44+G48+G52</f>
        <v>164593.22499999998</v>
      </c>
      <c r="H53" s="100">
        <f>H13+H19+H33+H37+H41+H44+H48+H52</f>
        <v>9636.34</v>
      </c>
      <c r="I53" s="100">
        <f>I13+I19+I33+I37+I41+I44+I48+I52</f>
        <v>97203.105</v>
      </c>
      <c r="J53" s="533">
        <f t="shared" si="13"/>
        <v>9605.28</v>
      </c>
      <c r="K53" s="533">
        <f t="shared" si="13"/>
        <v>9605.28</v>
      </c>
      <c r="L53" s="533">
        <f t="shared" si="13"/>
        <v>0</v>
      </c>
      <c r="M53" s="100">
        <f t="shared" si="13"/>
        <v>174198.505</v>
      </c>
      <c r="N53" s="258"/>
    </row>
    <row r="54" spans="1:13" ht="13.5">
      <c r="A54" s="16" t="s">
        <v>61</v>
      </c>
      <c r="B54" s="73" t="s">
        <v>84</v>
      </c>
      <c r="C54" s="115"/>
      <c r="D54" s="112"/>
      <c r="E54" s="115"/>
      <c r="F54" s="112"/>
      <c r="G54" s="114"/>
      <c r="H54" s="114"/>
      <c r="I54" s="115"/>
      <c r="J54" s="266"/>
      <c r="K54" s="266"/>
      <c r="L54" s="530">
        <f t="shared" si="0"/>
        <v>0</v>
      </c>
      <c r="M54" s="520"/>
    </row>
    <row r="55" spans="1:13" ht="13.5">
      <c r="A55" s="16" t="s">
        <v>75</v>
      </c>
      <c r="B55" s="63" t="s">
        <v>160</v>
      </c>
      <c r="C55" s="115"/>
      <c r="D55" s="112"/>
      <c r="E55" s="115"/>
      <c r="F55" s="112"/>
      <c r="G55" s="114"/>
      <c r="H55" s="114"/>
      <c r="I55" s="115"/>
      <c r="J55" s="266"/>
      <c r="K55" s="266"/>
      <c r="L55" s="530">
        <f t="shared" si="0"/>
        <v>0</v>
      </c>
      <c r="M55" s="520"/>
    </row>
    <row r="56" spans="1:13" ht="13.5">
      <c r="A56" s="20" t="s">
        <v>76</v>
      </c>
      <c r="B56" s="64" t="s">
        <v>163</v>
      </c>
      <c r="C56" s="99">
        <v>0</v>
      </c>
      <c r="D56" s="97">
        <v>0</v>
      </c>
      <c r="E56" s="99">
        <f>SUM(C56:D56)</f>
        <v>0</v>
      </c>
      <c r="F56" s="97">
        <v>0</v>
      </c>
      <c r="G56" s="98">
        <v>0</v>
      </c>
      <c r="H56" s="98">
        <f>F56-G56</f>
        <v>0</v>
      </c>
      <c r="I56" s="99">
        <f>E56-F56</f>
        <v>0</v>
      </c>
      <c r="J56" s="265">
        <v>0</v>
      </c>
      <c r="K56" s="265">
        <v>0</v>
      </c>
      <c r="L56" s="530">
        <f t="shared" si="0"/>
        <v>0</v>
      </c>
      <c r="M56" s="521">
        <f>G56+K56</f>
        <v>0</v>
      </c>
    </row>
    <row r="57" spans="1:13" ht="13.5">
      <c r="A57" s="20" t="s">
        <v>77</v>
      </c>
      <c r="B57" s="64" t="s">
        <v>164</v>
      </c>
      <c r="C57" s="99">
        <v>0</v>
      </c>
      <c r="D57" s="97">
        <v>0</v>
      </c>
      <c r="E57" s="99">
        <f>SUM(C57:D57)</f>
        <v>0</v>
      </c>
      <c r="F57" s="97">
        <v>0</v>
      </c>
      <c r="G57" s="98">
        <v>0</v>
      </c>
      <c r="H57" s="98">
        <f>F57-G57</f>
        <v>0</v>
      </c>
      <c r="I57" s="99">
        <f>E57-F57</f>
        <v>0</v>
      </c>
      <c r="J57" s="265">
        <v>0</v>
      </c>
      <c r="K57" s="265">
        <v>0</v>
      </c>
      <c r="L57" s="530">
        <f t="shared" si="0"/>
        <v>0</v>
      </c>
      <c r="M57" s="521">
        <f>G57+K57</f>
        <v>0</v>
      </c>
    </row>
    <row r="58" spans="1:13" ht="13.5">
      <c r="A58" s="20" t="s">
        <v>161</v>
      </c>
      <c r="B58" s="64" t="s">
        <v>165</v>
      </c>
      <c r="C58" s="99">
        <v>0</v>
      </c>
      <c r="D58" s="97">
        <v>0</v>
      </c>
      <c r="E58" s="99">
        <f>SUM(C58:D58)</f>
        <v>0</v>
      </c>
      <c r="F58" s="97">
        <v>0</v>
      </c>
      <c r="G58" s="98">
        <v>0</v>
      </c>
      <c r="H58" s="98">
        <f>F58-G58</f>
        <v>0</v>
      </c>
      <c r="I58" s="99">
        <f>E58-F58</f>
        <v>0</v>
      </c>
      <c r="J58" s="265">
        <v>0</v>
      </c>
      <c r="K58" s="265">
        <v>0</v>
      </c>
      <c r="L58" s="530">
        <f t="shared" si="0"/>
        <v>0</v>
      </c>
      <c r="M58" s="521">
        <f>G58+K58</f>
        <v>0</v>
      </c>
    </row>
    <row r="59" spans="1:13" ht="13.5">
      <c r="A59" s="20" t="s">
        <v>162</v>
      </c>
      <c r="B59" s="64" t="s">
        <v>166</v>
      </c>
      <c r="C59" s="99">
        <v>0</v>
      </c>
      <c r="D59" s="97">
        <v>0</v>
      </c>
      <c r="E59" s="99">
        <f>SUM(C59:D59)</f>
        <v>0</v>
      </c>
      <c r="F59" s="97">
        <v>0</v>
      </c>
      <c r="G59" s="98">
        <v>0</v>
      </c>
      <c r="H59" s="98">
        <f>F59-G59</f>
        <v>0</v>
      </c>
      <c r="I59" s="99">
        <f>E59-F59</f>
        <v>0</v>
      </c>
      <c r="J59" s="265">
        <v>0</v>
      </c>
      <c r="K59" s="265">
        <v>0</v>
      </c>
      <c r="L59" s="530">
        <f t="shared" si="0"/>
        <v>0</v>
      </c>
      <c r="M59" s="521">
        <f>G59+K59</f>
        <v>0</v>
      </c>
    </row>
    <row r="60" spans="1:13" s="4" customFormat="1" ht="13.5">
      <c r="A60" s="68"/>
      <c r="B60" s="71" t="s">
        <v>167</v>
      </c>
      <c r="C60" s="100">
        <f>SUM(C56:C59)</f>
        <v>0</v>
      </c>
      <c r="D60" s="100">
        <f aca="true" t="shared" si="14" ref="D60:M60">SUM(D56:D59)</f>
        <v>0</v>
      </c>
      <c r="E60" s="100">
        <f t="shared" si="14"/>
        <v>0</v>
      </c>
      <c r="F60" s="100">
        <f t="shared" si="14"/>
        <v>0</v>
      </c>
      <c r="G60" s="100">
        <f t="shared" si="14"/>
        <v>0</v>
      </c>
      <c r="H60" s="100">
        <f t="shared" si="14"/>
        <v>0</v>
      </c>
      <c r="I60" s="100">
        <f t="shared" si="14"/>
        <v>0</v>
      </c>
      <c r="J60" s="533">
        <f t="shared" si="14"/>
        <v>0</v>
      </c>
      <c r="K60" s="533">
        <f t="shared" si="14"/>
        <v>0</v>
      </c>
      <c r="L60" s="533">
        <f t="shared" si="14"/>
        <v>0</v>
      </c>
      <c r="M60" s="100">
        <f t="shared" si="14"/>
        <v>0</v>
      </c>
    </row>
    <row r="61" spans="1:13" s="4" customFormat="1" ht="13.5">
      <c r="A61" s="16" t="s">
        <v>254</v>
      </c>
      <c r="B61" s="63" t="s">
        <v>255</v>
      </c>
      <c r="C61" s="221">
        <v>0</v>
      </c>
      <c r="D61" s="95"/>
      <c r="E61" s="99"/>
      <c r="F61" s="95"/>
      <c r="G61" s="96"/>
      <c r="H61" s="96"/>
      <c r="I61" s="172"/>
      <c r="J61" s="269"/>
      <c r="K61" s="269"/>
      <c r="L61" s="530">
        <f t="shared" si="0"/>
        <v>0</v>
      </c>
      <c r="M61" s="523"/>
    </row>
    <row r="62" spans="1:13" s="4" customFormat="1" ht="13.5">
      <c r="A62" s="9" t="s">
        <v>256</v>
      </c>
      <c r="B62" s="64" t="s">
        <v>257</v>
      </c>
      <c r="C62" s="221">
        <v>0</v>
      </c>
      <c r="D62" s="97">
        <v>0</v>
      </c>
      <c r="E62" s="99">
        <f>C62+D62</f>
        <v>0</v>
      </c>
      <c r="F62" s="97">
        <v>0</v>
      </c>
      <c r="G62" s="98">
        <v>0</v>
      </c>
      <c r="H62" s="98">
        <f>F59-G59</f>
        <v>0</v>
      </c>
      <c r="I62" s="99">
        <f>E62-F62</f>
        <v>0</v>
      </c>
      <c r="J62" s="265">
        <v>0</v>
      </c>
      <c r="K62" s="265">
        <v>0</v>
      </c>
      <c r="L62" s="530">
        <f t="shared" si="0"/>
        <v>0</v>
      </c>
      <c r="M62" s="521">
        <f>G62+K62</f>
        <v>0</v>
      </c>
    </row>
    <row r="63" spans="1:13" s="4" customFormat="1" ht="13.5">
      <c r="A63" s="9" t="s">
        <v>258</v>
      </c>
      <c r="B63" s="64" t="s">
        <v>259</v>
      </c>
      <c r="C63" s="221">
        <v>0</v>
      </c>
      <c r="D63" s="97">
        <v>0</v>
      </c>
      <c r="E63" s="99">
        <f>C63+D63</f>
        <v>0</v>
      </c>
      <c r="F63" s="97">
        <v>0</v>
      </c>
      <c r="G63" s="98">
        <v>0</v>
      </c>
      <c r="H63" s="98">
        <f>F60-G60</f>
        <v>0</v>
      </c>
      <c r="I63" s="99">
        <f>E63-F63</f>
        <v>0</v>
      </c>
      <c r="J63" s="265">
        <v>0</v>
      </c>
      <c r="K63" s="265">
        <v>0</v>
      </c>
      <c r="L63" s="530">
        <f t="shared" si="0"/>
        <v>0</v>
      </c>
      <c r="M63" s="521">
        <f>G63+K63</f>
        <v>0</v>
      </c>
    </row>
    <row r="64" spans="1:13" s="4" customFormat="1" ht="13.5">
      <c r="A64" s="9" t="s">
        <v>260</v>
      </c>
      <c r="B64" s="64" t="s">
        <v>261</v>
      </c>
      <c r="C64" s="221">
        <v>0</v>
      </c>
      <c r="D64" s="97">
        <v>0</v>
      </c>
      <c r="E64" s="99">
        <f>C64+D64</f>
        <v>0</v>
      </c>
      <c r="F64" s="97">
        <v>0</v>
      </c>
      <c r="G64" s="98">
        <v>0</v>
      </c>
      <c r="H64" s="98">
        <f>F61-G61</f>
        <v>0</v>
      </c>
      <c r="I64" s="99">
        <f>E64-F64</f>
        <v>0</v>
      </c>
      <c r="J64" s="265">
        <v>0</v>
      </c>
      <c r="K64" s="265">
        <v>0</v>
      </c>
      <c r="L64" s="530">
        <f t="shared" si="0"/>
        <v>0</v>
      </c>
      <c r="M64" s="521">
        <f>G64+K64</f>
        <v>0</v>
      </c>
    </row>
    <row r="65" spans="1:13" s="4" customFormat="1" ht="13.5">
      <c r="A65" s="9" t="s">
        <v>262</v>
      </c>
      <c r="B65" s="64" t="s">
        <v>263</v>
      </c>
      <c r="C65" s="221">
        <f>13484.84+12767.63</f>
        <v>26252.47</v>
      </c>
      <c r="D65" s="284">
        <f>3500+60279.09+6412.15+53167.83-6501.05+26000+3154.75+3591.14+740-124.67</f>
        <v>150219.24</v>
      </c>
      <c r="E65" s="99">
        <f>C65+D65</f>
        <v>176471.71</v>
      </c>
      <c r="F65" s="97">
        <f>162628.82+'DIVISIONE COMM-ISTI'!J60-19557</f>
        <v>156547.695</v>
      </c>
      <c r="G65" s="97">
        <f>162628.82+'DIVISIONE COMM-ISTI'!J60-19557</f>
        <v>156547.695</v>
      </c>
      <c r="H65" s="98">
        <f>F65-G65</f>
        <v>0</v>
      </c>
      <c r="I65" s="99">
        <f>E65-F65</f>
        <v>19924.014999999985</v>
      </c>
      <c r="J65" s="265">
        <f>19557+114262.5</f>
        <v>133819.5</v>
      </c>
      <c r="K65" s="265">
        <v>19557</v>
      </c>
      <c r="L65" s="530">
        <f t="shared" si="0"/>
        <v>114262.5</v>
      </c>
      <c r="M65" s="521">
        <f>G65+K65</f>
        <v>176104.695</v>
      </c>
    </row>
    <row r="66" spans="1:13" s="4" customFormat="1" ht="13.5">
      <c r="A66" s="9" t="s">
        <v>264</v>
      </c>
      <c r="B66" s="64" t="s">
        <v>265</v>
      </c>
      <c r="C66" s="221">
        <v>0</v>
      </c>
      <c r="D66" s="45">
        <v>0</v>
      </c>
      <c r="E66" s="99">
        <f>C66+D66</f>
        <v>0</v>
      </c>
      <c r="F66" s="46">
        <v>0</v>
      </c>
      <c r="G66" s="173">
        <v>0</v>
      </c>
      <c r="H66" s="98">
        <f>F63-G63</f>
        <v>0</v>
      </c>
      <c r="I66" s="99">
        <f>E66-F66</f>
        <v>0</v>
      </c>
      <c r="J66" s="265">
        <v>0</v>
      </c>
      <c r="K66" s="265">
        <v>0</v>
      </c>
      <c r="L66" s="530">
        <f t="shared" si="0"/>
        <v>0</v>
      </c>
      <c r="M66" s="521">
        <f>G66+K66</f>
        <v>0</v>
      </c>
    </row>
    <row r="67" spans="1:13" s="4" customFormat="1" ht="13.5">
      <c r="A67" s="68"/>
      <c r="B67" s="71" t="s">
        <v>266</v>
      </c>
      <c r="C67" s="100">
        <f>SUM(C61:C66)</f>
        <v>26252.47</v>
      </c>
      <c r="D67" s="100">
        <f aca="true" t="shared" si="15" ref="D67:M67">SUM(D61:D66)</f>
        <v>150219.24</v>
      </c>
      <c r="E67" s="100">
        <f t="shared" si="15"/>
        <v>176471.71</v>
      </c>
      <c r="F67" s="100">
        <f t="shared" si="15"/>
        <v>156547.695</v>
      </c>
      <c r="G67" s="100">
        <f t="shared" si="15"/>
        <v>156547.695</v>
      </c>
      <c r="H67" s="100">
        <f t="shared" si="15"/>
        <v>0</v>
      </c>
      <c r="I67" s="100">
        <f t="shared" si="15"/>
        <v>19924.014999999985</v>
      </c>
      <c r="J67" s="533">
        <f t="shared" si="15"/>
        <v>133819.5</v>
      </c>
      <c r="K67" s="533">
        <f t="shared" si="15"/>
        <v>19557</v>
      </c>
      <c r="L67" s="533">
        <f t="shared" si="15"/>
        <v>114262.5</v>
      </c>
      <c r="M67" s="100">
        <f t="shared" si="15"/>
        <v>176104.695</v>
      </c>
    </row>
    <row r="68" spans="1:13" s="4" customFormat="1" ht="13.5">
      <c r="A68" s="68"/>
      <c r="B68" s="69" t="s">
        <v>168</v>
      </c>
      <c r="C68" s="100">
        <f>SUM(C60+C67)</f>
        <v>26252.47</v>
      </c>
      <c r="D68" s="100">
        <f aca="true" t="shared" si="16" ref="D68:M68">SUM(D60+D67)</f>
        <v>150219.24</v>
      </c>
      <c r="E68" s="100">
        <f t="shared" si="16"/>
        <v>176471.71</v>
      </c>
      <c r="F68" s="100">
        <f t="shared" si="16"/>
        <v>156547.695</v>
      </c>
      <c r="G68" s="100">
        <f t="shared" si="16"/>
        <v>156547.695</v>
      </c>
      <c r="H68" s="100">
        <f t="shared" si="16"/>
        <v>0</v>
      </c>
      <c r="I68" s="100">
        <f t="shared" si="16"/>
        <v>19924.014999999985</v>
      </c>
      <c r="J68" s="533">
        <f t="shared" si="16"/>
        <v>133819.5</v>
      </c>
      <c r="K68" s="533">
        <f t="shared" si="16"/>
        <v>19557</v>
      </c>
      <c r="L68" s="533">
        <f t="shared" si="16"/>
        <v>114262.5</v>
      </c>
      <c r="M68" s="100">
        <f t="shared" si="16"/>
        <v>176104.695</v>
      </c>
    </row>
    <row r="69" spans="1:13" s="4" customFormat="1" ht="13.5">
      <c r="A69" s="16" t="s">
        <v>62</v>
      </c>
      <c r="B69" s="73" t="s">
        <v>198</v>
      </c>
      <c r="C69" s="115"/>
      <c r="D69" s="112"/>
      <c r="E69" s="115"/>
      <c r="F69" s="112"/>
      <c r="G69" s="114"/>
      <c r="H69" s="114"/>
      <c r="I69" s="115"/>
      <c r="J69" s="266"/>
      <c r="K69" s="266"/>
      <c r="L69" s="530">
        <f t="shared" si="0"/>
        <v>0</v>
      </c>
      <c r="M69" s="520"/>
    </row>
    <row r="70" spans="1:13" ht="13.5">
      <c r="A70" s="16" t="s">
        <v>196</v>
      </c>
      <c r="B70" s="63" t="s">
        <v>199</v>
      </c>
      <c r="C70" s="115"/>
      <c r="D70" s="112"/>
      <c r="E70" s="115"/>
      <c r="F70" s="112"/>
      <c r="G70" s="114"/>
      <c r="H70" s="114"/>
      <c r="I70" s="115"/>
      <c r="J70" s="266"/>
      <c r="K70" s="266"/>
      <c r="L70" s="530">
        <f t="shared" si="0"/>
        <v>0</v>
      </c>
      <c r="M70" s="520"/>
    </row>
    <row r="71" spans="1:13" ht="13.5">
      <c r="A71" s="20" t="s">
        <v>195</v>
      </c>
      <c r="B71" s="64" t="s">
        <v>200</v>
      </c>
      <c r="C71" s="99">
        <v>0</v>
      </c>
      <c r="D71" s="97">
        <v>0</v>
      </c>
      <c r="E71" s="99">
        <f>SUM(C71:D71)</f>
        <v>0</v>
      </c>
      <c r="F71" s="97">
        <v>0</v>
      </c>
      <c r="G71" s="98">
        <v>0</v>
      </c>
      <c r="H71" s="98">
        <f>F71-G71</f>
        <v>0</v>
      </c>
      <c r="I71" s="99">
        <f>E71-F71</f>
        <v>0</v>
      </c>
      <c r="J71" s="265">
        <v>0</v>
      </c>
      <c r="K71" s="265">
        <v>0</v>
      </c>
      <c r="L71" s="530">
        <f t="shared" si="0"/>
        <v>0</v>
      </c>
      <c r="M71" s="521">
        <f>G71+K71</f>
        <v>0</v>
      </c>
    </row>
    <row r="72" spans="1:13" ht="13.5">
      <c r="A72" s="68"/>
      <c r="B72" s="71" t="s">
        <v>197</v>
      </c>
      <c r="C72" s="100">
        <f>SUM(C71)</f>
        <v>0</v>
      </c>
      <c r="D72" s="100">
        <f aca="true" t="shared" si="17" ref="D72:M72">SUM(D71)</f>
        <v>0</v>
      </c>
      <c r="E72" s="100">
        <f t="shared" si="17"/>
        <v>0</v>
      </c>
      <c r="F72" s="100">
        <f t="shared" si="17"/>
        <v>0</v>
      </c>
      <c r="G72" s="100">
        <f t="shared" si="17"/>
        <v>0</v>
      </c>
      <c r="H72" s="100">
        <f t="shared" si="17"/>
        <v>0</v>
      </c>
      <c r="I72" s="100">
        <f t="shared" si="17"/>
        <v>0</v>
      </c>
      <c r="J72" s="533">
        <f t="shared" si="17"/>
        <v>0</v>
      </c>
      <c r="K72" s="533">
        <f t="shared" si="17"/>
        <v>0</v>
      </c>
      <c r="L72" s="533">
        <f t="shared" si="17"/>
        <v>0</v>
      </c>
      <c r="M72" s="100">
        <f t="shared" si="17"/>
        <v>0</v>
      </c>
    </row>
    <row r="73" spans="1:13" s="38" customFormat="1" ht="13.5">
      <c r="A73" s="37" t="s">
        <v>193</v>
      </c>
      <c r="B73" s="77" t="s">
        <v>43</v>
      </c>
      <c r="C73" s="117"/>
      <c r="D73" s="101"/>
      <c r="E73" s="117"/>
      <c r="F73" s="101"/>
      <c r="G73" s="116"/>
      <c r="H73" s="116"/>
      <c r="I73" s="117"/>
      <c r="J73" s="262"/>
      <c r="K73" s="262"/>
      <c r="L73" s="530">
        <f t="shared" si="0"/>
        <v>0</v>
      </c>
      <c r="M73" s="517"/>
    </row>
    <row r="74" spans="1:13" s="4" customFormat="1" ht="13.5">
      <c r="A74" s="16" t="s">
        <v>194</v>
      </c>
      <c r="B74" s="63" t="s">
        <v>169</v>
      </c>
      <c r="C74" s="119"/>
      <c r="D74" s="112"/>
      <c r="E74" s="119" t="s">
        <v>88</v>
      </c>
      <c r="F74" s="118"/>
      <c r="G74" s="139"/>
      <c r="H74" s="139"/>
      <c r="I74" s="119"/>
      <c r="J74" s="270"/>
      <c r="K74" s="270"/>
      <c r="L74" s="530">
        <f t="shared" si="0"/>
        <v>0</v>
      </c>
      <c r="M74" s="524"/>
    </row>
    <row r="75" spans="1:13" ht="13.5">
      <c r="A75" s="20" t="s">
        <v>78</v>
      </c>
      <c r="B75" s="64" t="s">
        <v>1</v>
      </c>
      <c r="C75" s="99">
        <v>0</v>
      </c>
      <c r="D75" s="97">
        <v>0</v>
      </c>
      <c r="E75" s="99">
        <f>SUM(C75:D75)</f>
        <v>0</v>
      </c>
      <c r="F75" s="97">
        <v>0</v>
      </c>
      <c r="G75" s="98">
        <v>0</v>
      </c>
      <c r="H75" s="98">
        <f>F75-G75</f>
        <v>0</v>
      </c>
      <c r="I75" s="99">
        <f>E75-F75</f>
        <v>0</v>
      </c>
      <c r="J75" s="265">
        <v>0</v>
      </c>
      <c r="K75" s="265">
        <v>0</v>
      </c>
      <c r="L75" s="530">
        <f t="shared" si="0"/>
        <v>0</v>
      </c>
      <c r="M75" s="521">
        <f>G75+K75</f>
        <v>0</v>
      </c>
    </row>
    <row r="76" spans="1:13" ht="13.5">
      <c r="A76" s="20" t="s">
        <v>79</v>
      </c>
      <c r="B76" s="64" t="s">
        <v>0</v>
      </c>
      <c r="C76" s="140">
        <v>25000</v>
      </c>
      <c r="D76" s="134">
        <v>-13995.16</v>
      </c>
      <c r="E76" s="108">
        <f>SUM(C76:D76)</f>
        <v>11004.84</v>
      </c>
      <c r="F76" s="97">
        <f>11394.08-1120-500-1400-846+1620+1616.26+240.14+0.36</f>
        <v>11004.84</v>
      </c>
      <c r="G76" s="97">
        <f>11394.08-1120-500-1400-846</f>
        <v>7528.08</v>
      </c>
      <c r="H76" s="107">
        <f>F76-G76</f>
        <v>3476.76</v>
      </c>
      <c r="I76" s="99">
        <f>E76-F76</f>
        <v>0</v>
      </c>
      <c r="J76" s="265">
        <f>1620+846+1400</f>
        <v>3866</v>
      </c>
      <c r="K76" s="265">
        <f>1620+846+1400</f>
        <v>3866</v>
      </c>
      <c r="L76" s="530">
        <f>J76-K76</f>
        <v>0</v>
      </c>
      <c r="M76" s="519">
        <f>G76+K76</f>
        <v>11394.08</v>
      </c>
    </row>
    <row r="77" spans="1:13" ht="14.25" customHeight="1">
      <c r="A77" s="20" t="s">
        <v>170</v>
      </c>
      <c r="B77" s="64" t="s">
        <v>44</v>
      </c>
      <c r="C77" s="140">
        <v>20000</v>
      </c>
      <c r="D77" s="97">
        <v>-15137</v>
      </c>
      <c r="E77" s="108">
        <f>SUM(C77:D77)</f>
        <v>4863</v>
      </c>
      <c r="F77" s="97">
        <f>3662+1201</f>
        <v>4863</v>
      </c>
      <c r="G77" s="98">
        <v>3662</v>
      </c>
      <c r="H77" s="98">
        <f>F77-G77</f>
        <v>1201</v>
      </c>
      <c r="I77" s="99">
        <f>E77-F77</f>
        <v>0</v>
      </c>
      <c r="J77" s="265">
        <f>0.22+0.28</f>
        <v>0.5</v>
      </c>
      <c r="K77" s="265">
        <v>0</v>
      </c>
      <c r="L77" s="530">
        <f>J77-K77</f>
        <v>0.5</v>
      </c>
      <c r="M77" s="521">
        <f>G77+K77</f>
        <v>3662</v>
      </c>
    </row>
    <row r="78" spans="1:13" ht="13.5">
      <c r="A78" s="20" t="s">
        <v>173</v>
      </c>
      <c r="B78" s="64" t="s">
        <v>171</v>
      </c>
      <c r="C78" s="99">
        <v>100</v>
      </c>
      <c r="D78" s="47">
        <v>332.24</v>
      </c>
      <c r="E78" s="75">
        <f>SUM(C78:D78)</f>
        <v>432.24</v>
      </c>
      <c r="F78" s="47">
        <f>682.28-250.04</f>
        <v>432.24</v>
      </c>
      <c r="G78" s="120">
        <v>432.24</v>
      </c>
      <c r="H78" s="98">
        <f>F78-G78</f>
        <v>0</v>
      </c>
      <c r="I78" s="99">
        <f>E78-F78</f>
        <v>0</v>
      </c>
      <c r="J78" s="265">
        <f>250.04</f>
        <v>250.04</v>
      </c>
      <c r="K78" s="265">
        <v>250.04</v>
      </c>
      <c r="L78" s="530">
        <f>J78-K78</f>
        <v>0</v>
      </c>
      <c r="M78" s="521">
        <f>G78+K78</f>
        <v>682.28</v>
      </c>
    </row>
    <row r="79" spans="1:13" ht="13.5">
      <c r="A79" s="20" t="s">
        <v>174</v>
      </c>
      <c r="B79" s="64" t="s">
        <v>172</v>
      </c>
      <c r="C79" s="99">
        <v>0</v>
      </c>
      <c r="D79" s="97">
        <v>0</v>
      </c>
      <c r="E79" s="99">
        <f>SUM(C79:D79)</f>
        <v>0</v>
      </c>
      <c r="F79" s="97">
        <v>0</v>
      </c>
      <c r="G79" s="98">
        <v>0</v>
      </c>
      <c r="H79" s="98">
        <f>F79-G79</f>
        <v>0</v>
      </c>
      <c r="I79" s="99">
        <f>E79-F79</f>
        <v>0</v>
      </c>
      <c r="J79" s="265">
        <v>0</v>
      </c>
      <c r="K79" s="265">
        <v>0</v>
      </c>
      <c r="L79" s="530">
        <f>J79-K79</f>
        <v>0</v>
      </c>
      <c r="M79" s="521">
        <f>G79+K79</f>
        <v>0</v>
      </c>
    </row>
    <row r="80" spans="1:15" ht="12.75" customHeight="1">
      <c r="A80" s="68"/>
      <c r="B80" s="68" t="s">
        <v>175</v>
      </c>
      <c r="C80" s="100">
        <f>SUM(C75:C79)</f>
        <v>45100</v>
      </c>
      <c r="D80" s="100">
        <f aca="true" t="shared" si="18" ref="D80:L80">SUM(D75:D79)</f>
        <v>-28799.92</v>
      </c>
      <c r="E80" s="100">
        <f t="shared" si="18"/>
        <v>16300.08</v>
      </c>
      <c r="F80" s="100">
        <f t="shared" si="18"/>
        <v>16300.08</v>
      </c>
      <c r="G80" s="100">
        <f t="shared" si="18"/>
        <v>11622.32</v>
      </c>
      <c r="H80" s="100">
        <f t="shared" si="18"/>
        <v>4677.76</v>
      </c>
      <c r="I80" s="100">
        <f t="shared" si="18"/>
        <v>0</v>
      </c>
      <c r="J80" s="533">
        <f t="shared" si="18"/>
        <v>4116.54</v>
      </c>
      <c r="K80" s="533">
        <f t="shared" si="18"/>
        <v>4116.04</v>
      </c>
      <c r="L80" s="533">
        <f t="shared" si="18"/>
        <v>0.5</v>
      </c>
      <c r="M80" s="100">
        <f>SUM(M75:M79)</f>
        <v>15738.36</v>
      </c>
      <c r="O80" s="258"/>
    </row>
    <row r="81" spans="1:13" s="5" customFormat="1" ht="13.5">
      <c r="A81" s="68"/>
      <c r="B81" s="78" t="s">
        <v>120</v>
      </c>
      <c r="C81" s="100">
        <f>SUM(C80)</f>
        <v>45100</v>
      </c>
      <c r="D81" s="100">
        <f aca="true" t="shared" si="19" ref="D81:L81">SUM(D80)</f>
        <v>-28799.92</v>
      </c>
      <c r="E81" s="100">
        <f t="shared" si="19"/>
        <v>16300.08</v>
      </c>
      <c r="F81" s="100">
        <f t="shared" si="19"/>
        <v>16300.08</v>
      </c>
      <c r="G81" s="100">
        <f t="shared" si="19"/>
        <v>11622.32</v>
      </c>
      <c r="H81" s="100">
        <f t="shared" si="19"/>
        <v>4677.76</v>
      </c>
      <c r="I81" s="100">
        <f t="shared" si="19"/>
        <v>0</v>
      </c>
      <c r="J81" s="533">
        <f t="shared" si="19"/>
        <v>4116.54</v>
      </c>
      <c r="K81" s="533">
        <f t="shared" si="19"/>
        <v>4116.04</v>
      </c>
      <c r="L81" s="533">
        <f t="shared" si="19"/>
        <v>0.5</v>
      </c>
      <c r="M81" s="100">
        <f>SUM(M80)</f>
        <v>15738.36</v>
      </c>
    </row>
    <row r="82" spans="1:13" s="539" customFormat="1" ht="15.75">
      <c r="A82" s="68"/>
      <c r="B82" s="536" t="s">
        <v>85</v>
      </c>
      <c r="C82" s="537">
        <f>C13+C19+C33+C37+C41+C44+C48+C52+C60+C67+C72+C80</f>
        <v>185694.4</v>
      </c>
      <c r="D82" s="537">
        <f aca="true" t="shared" si="20" ref="D82:M82">D13+D19+D33+D37+D41+D44+D48+D52+D60+D67+D72+D80</f>
        <v>278510.06</v>
      </c>
      <c r="E82" s="537">
        <f t="shared" si="20"/>
        <v>464204.46</v>
      </c>
      <c r="F82" s="537">
        <f t="shared" si="20"/>
        <v>347077.34</v>
      </c>
      <c r="G82" s="537">
        <f t="shared" si="20"/>
        <v>332763.24</v>
      </c>
      <c r="H82" s="537">
        <f t="shared" si="20"/>
        <v>14314.1</v>
      </c>
      <c r="I82" s="537">
        <f t="shared" si="20"/>
        <v>117127.11999999998</v>
      </c>
      <c r="J82" s="538">
        <f t="shared" si="20"/>
        <v>147541.32</v>
      </c>
      <c r="K82" s="538">
        <f t="shared" si="20"/>
        <v>33278.32</v>
      </c>
      <c r="L82" s="538">
        <f t="shared" si="20"/>
        <v>114263</v>
      </c>
      <c r="M82" s="537">
        <f t="shared" si="20"/>
        <v>366041.56</v>
      </c>
    </row>
    <row r="83" spans="1:15" ht="13.5">
      <c r="A83" s="2"/>
      <c r="C83" s="1"/>
      <c r="D83" s="1"/>
      <c r="E83" s="1"/>
      <c r="F83" s="36"/>
      <c r="G83" s="121"/>
      <c r="L83" s="190">
        <f>H82+L82</f>
        <v>128577.1</v>
      </c>
      <c r="O83" s="258"/>
    </row>
    <row r="84" spans="1:13" s="4" customFormat="1" ht="13.5">
      <c r="A84" s="122"/>
      <c r="F84" s="49">
        <v>0</v>
      </c>
      <c r="G84" s="49"/>
      <c r="I84" s="190"/>
      <c r="J84" s="190"/>
      <c r="M84" s="316"/>
    </row>
    <row r="85" spans="1:13" s="4" customFormat="1" ht="13.5">
      <c r="A85" s="122"/>
      <c r="C85" s="49"/>
      <c r="D85" s="49"/>
      <c r="E85" s="49"/>
      <c r="F85" s="49"/>
      <c r="M85" s="316"/>
    </row>
    <row r="86" spans="1:13" s="4" customFormat="1" ht="13.5">
      <c r="A86" s="122"/>
      <c r="C86" s="49"/>
      <c r="D86" s="49"/>
      <c r="E86" s="49"/>
      <c r="F86" s="49"/>
      <c r="G86" s="123"/>
      <c r="M86" s="190"/>
    </row>
    <row r="87" spans="3:7" s="4" customFormat="1" ht="13.5">
      <c r="C87" s="49"/>
      <c r="D87" s="49"/>
      <c r="E87" s="49"/>
      <c r="F87" s="49"/>
      <c r="G87" s="49"/>
    </row>
    <row r="88" spans="3:13" s="4" customFormat="1" ht="13.5">
      <c r="C88" s="49"/>
      <c r="D88" s="49"/>
      <c r="E88" s="49"/>
      <c r="F88" s="49"/>
      <c r="M88" s="49"/>
    </row>
    <row r="89" s="4" customFormat="1" ht="13.5">
      <c r="M89" s="49"/>
    </row>
    <row r="90" spans="3:13" s="4" customFormat="1" ht="13.5">
      <c r="C90" s="49"/>
      <c r="D90" s="49"/>
      <c r="E90" s="49"/>
      <c r="F90" s="49"/>
      <c r="M90" s="49"/>
    </row>
    <row r="91" spans="3:6" s="4" customFormat="1" ht="13.5">
      <c r="C91" s="49"/>
      <c r="D91" s="49"/>
      <c r="E91" s="49"/>
      <c r="F91" s="49"/>
    </row>
    <row r="92" spans="3:8" s="4" customFormat="1" ht="13.5">
      <c r="C92" s="49"/>
      <c r="D92" s="49"/>
      <c r="E92" s="49"/>
      <c r="F92" s="49"/>
      <c r="H92" s="190"/>
    </row>
    <row r="93" spans="3:8" s="4" customFormat="1" ht="13.5">
      <c r="C93" s="49"/>
      <c r="D93" s="49"/>
      <c r="E93" s="49"/>
      <c r="F93" s="49"/>
      <c r="H93" s="190"/>
    </row>
    <row r="94" spans="3:8" s="4" customFormat="1" ht="13.5">
      <c r="C94" s="49"/>
      <c r="D94" s="49"/>
      <c r="E94" s="49"/>
      <c r="F94" s="49"/>
      <c r="H94" s="190"/>
    </row>
    <row r="95" spans="3:6" s="4" customFormat="1" ht="13.5">
      <c r="C95" s="49"/>
      <c r="D95" s="49"/>
      <c r="E95" s="49"/>
      <c r="F95" s="49"/>
    </row>
    <row r="96" spans="3:6" s="4" customFormat="1" ht="13.5">
      <c r="C96" s="49"/>
      <c r="D96" s="49"/>
      <c r="E96" s="49"/>
      <c r="F96" s="49"/>
    </row>
    <row r="97" spans="3:6" s="4" customFormat="1" ht="13.5">
      <c r="C97" s="49"/>
      <c r="D97" s="49"/>
      <c r="E97" s="49"/>
      <c r="F97" s="49"/>
    </row>
    <row r="98" spans="3:6" s="4" customFormat="1" ht="13.5">
      <c r="C98" s="49"/>
      <c r="D98" s="49"/>
      <c r="E98" s="49"/>
      <c r="F98" s="49"/>
    </row>
    <row r="99" spans="3:6" s="4" customFormat="1" ht="13.5">
      <c r="C99" s="49"/>
      <c r="D99" s="49"/>
      <c r="E99" s="49"/>
      <c r="F99" s="49"/>
    </row>
    <row r="100" spans="3:6" s="4" customFormat="1" ht="13.5">
      <c r="C100" s="49"/>
      <c r="D100" s="49"/>
      <c r="E100" s="49"/>
      <c r="F100" s="49"/>
    </row>
    <row r="101" spans="3:6" s="4" customFormat="1" ht="13.5">
      <c r="C101" s="49"/>
      <c r="D101" s="49"/>
      <c r="E101" s="49"/>
      <c r="F101" s="49"/>
    </row>
    <row r="102" spans="3:6" s="4" customFormat="1" ht="13.5">
      <c r="C102" s="49"/>
      <c r="D102" s="49"/>
      <c r="E102" s="49"/>
      <c r="F102" s="49"/>
    </row>
    <row r="103" spans="3:6" s="4" customFormat="1" ht="13.5">
      <c r="C103" s="49"/>
      <c r="D103" s="49"/>
      <c r="E103" s="49"/>
      <c r="F103" s="49"/>
    </row>
    <row r="104" spans="3:6" s="4" customFormat="1" ht="13.5">
      <c r="C104" s="49"/>
      <c r="D104" s="49"/>
      <c r="E104" s="49"/>
      <c r="F104" s="49"/>
    </row>
    <row r="105" spans="3:6" s="4" customFormat="1" ht="13.5">
      <c r="C105" s="49"/>
      <c r="D105" s="49"/>
      <c r="E105" s="49"/>
      <c r="F105" s="49"/>
    </row>
    <row r="106" spans="3:6" s="4" customFormat="1" ht="13.5">
      <c r="C106" s="49"/>
      <c r="D106" s="49"/>
      <c r="E106" s="49"/>
      <c r="F106" s="49"/>
    </row>
    <row r="107" spans="3:6" s="4" customFormat="1" ht="13.5">
      <c r="C107" s="49"/>
      <c r="D107" s="49"/>
      <c r="E107" s="49"/>
      <c r="F107" s="49"/>
    </row>
    <row r="108" spans="3:6" s="4" customFormat="1" ht="13.5">
      <c r="C108" s="49"/>
      <c r="D108" s="49"/>
      <c r="E108" s="49"/>
      <c r="F108" s="49"/>
    </row>
    <row r="109" spans="3:6" s="4" customFormat="1" ht="13.5">
      <c r="C109" s="49"/>
      <c r="D109" s="49"/>
      <c r="E109" s="49"/>
      <c r="F109" s="49"/>
    </row>
    <row r="110" spans="3:6" s="4" customFormat="1" ht="13.5">
      <c r="C110" s="49"/>
      <c r="D110" s="49"/>
      <c r="E110" s="49"/>
      <c r="F110" s="49"/>
    </row>
    <row r="111" spans="3:6" s="4" customFormat="1" ht="13.5">
      <c r="C111" s="49"/>
      <c r="D111" s="49"/>
      <c r="E111" s="49"/>
      <c r="F111" s="49"/>
    </row>
    <row r="112" spans="3:6" s="4" customFormat="1" ht="13.5">
      <c r="C112" s="49"/>
      <c r="D112" s="49"/>
      <c r="E112" s="49"/>
      <c r="F112" s="49"/>
    </row>
    <row r="113" spans="3:6" s="4" customFormat="1" ht="13.5">
      <c r="C113" s="49"/>
      <c r="D113" s="49"/>
      <c r="E113" s="49"/>
      <c r="F113" s="49"/>
    </row>
    <row r="114" spans="3:6" s="4" customFormat="1" ht="13.5">
      <c r="C114" s="49"/>
      <c r="D114" s="49"/>
      <c r="E114" s="49"/>
      <c r="F114" s="49"/>
    </row>
    <row r="115" spans="3:6" s="4" customFormat="1" ht="13.5">
      <c r="C115" s="49"/>
      <c r="D115" s="49"/>
      <c r="E115" s="49"/>
      <c r="F115" s="49"/>
    </row>
    <row r="116" spans="3:6" s="4" customFormat="1" ht="13.5">
      <c r="C116" s="49"/>
      <c r="D116" s="49"/>
      <c r="E116" s="49"/>
      <c r="F116" s="49"/>
    </row>
    <row r="117" spans="3:6" s="4" customFormat="1" ht="13.5">
      <c r="C117" s="49"/>
      <c r="D117" s="49"/>
      <c r="E117" s="49"/>
      <c r="F117" s="49"/>
    </row>
    <row r="118" spans="3:6" s="4" customFormat="1" ht="13.5">
      <c r="C118" s="49"/>
      <c r="D118" s="49"/>
      <c r="E118" s="49"/>
      <c r="F118" s="49"/>
    </row>
    <row r="119" spans="3:6" s="4" customFormat="1" ht="13.5">
      <c r="C119" s="49"/>
      <c r="D119" s="49"/>
      <c r="E119" s="49"/>
      <c r="F119" s="49"/>
    </row>
    <row r="120" spans="3:6" s="4" customFormat="1" ht="13.5">
      <c r="C120" s="49"/>
      <c r="D120" s="49"/>
      <c r="E120" s="49"/>
      <c r="F120" s="49"/>
    </row>
    <row r="121" spans="3:6" s="4" customFormat="1" ht="13.5">
      <c r="C121" s="49"/>
      <c r="D121" s="49"/>
      <c r="E121" s="49"/>
      <c r="F121" s="49"/>
    </row>
    <row r="122" spans="3:6" s="4" customFormat="1" ht="13.5">
      <c r="C122" s="49"/>
      <c r="D122" s="49"/>
      <c r="E122" s="49"/>
      <c r="F122" s="49"/>
    </row>
    <row r="123" spans="3:6" s="4" customFormat="1" ht="13.5">
      <c r="C123" s="49"/>
      <c r="D123" s="49"/>
      <c r="E123" s="49"/>
      <c r="F123" s="49"/>
    </row>
    <row r="124" spans="3:6" s="4" customFormat="1" ht="13.5">
      <c r="C124" s="49"/>
      <c r="D124" s="49"/>
      <c r="E124" s="49"/>
      <c r="F124" s="49"/>
    </row>
    <row r="125" spans="3:6" s="4" customFormat="1" ht="13.5">
      <c r="C125" s="49"/>
      <c r="D125" s="49"/>
      <c r="E125" s="49"/>
      <c r="F125" s="49"/>
    </row>
    <row r="126" spans="3:6" s="4" customFormat="1" ht="13.5">
      <c r="C126" s="49"/>
      <c r="D126" s="49"/>
      <c r="E126" s="49"/>
      <c r="F126" s="49"/>
    </row>
    <row r="127" spans="3:6" s="4" customFormat="1" ht="13.5">
      <c r="C127" s="49"/>
      <c r="D127" s="49"/>
      <c r="E127" s="49"/>
      <c r="F127" s="49"/>
    </row>
    <row r="128" spans="3:6" s="4" customFormat="1" ht="13.5">
      <c r="C128" s="49"/>
      <c r="D128" s="49"/>
      <c r="E128" s="49"/>
      <c r="F128" s="49"/>
    </row>
    <row r="129" spans="3:6" s="4" customFormat="1" ht="13.5">
      <c r="C129" s="49"/>
      <c r="D129" s="49"/>
      <c r="E129" s="49"/>
      <c r="F129" s="49"/>
    </row>
    <row r="130" spans="3:6" s="4" customFormat="1" ht="13.5">
      <c r="C130" s="49"/>
      <c r="D130" s="49"/>
      <c r="E130" s="49"/>
      <c r="F130" s="49"/>
    </row>
    <row r="131" spans="3:6" s="4" customFormat="1" ht="13.5">
      <c r="C131" s="49"/>
      <c r="D131" s="49"/>
      <c r="E131" s="49"/>
      <c r="F131" s="49"/>
    </row>
    <row r="132" spans="3:6" s="4" customFormat="1" ht="13.5">
      <c r="C132" s="49"/>
      <c r="D132" s="49"/>
      <c r="E132" s="49"/>
      <c r="F132" s="49"/>
    </row>
    <row r="133" spans="3:6" s="4" customFormat="1" ht="13.5">
      <c r="C133" s="49"/>
      <c r="D133" s="49"/>
      <c r="E133" s="49"/>
      <c r="F133" s="49"/>
    </row>
    <row r="134" spans="3:6" s="4" customFormat="1" ht="13.5">
      <c r="C134" s="49"/>
      <c r="D134" s="49"/>
      <c r="E134" s="49"/>
      <c r="F134" s="49"/>
    </row>
    <row r="135" spans="3:6" s="4" customFormat="1" ht="13.5">
      <c r="C135" s="49"/>
      <c r="D135" s="49"/>
      <c r="E135" s="49"/>
      <c r="F135" s="49"/>
    </row>
    <row r="136" spans="3:6" s="4" customFormat="1" ht="13.5">
      <c r="C136" s="49"/>
      <c r="D136" s="49"/>
      <c r="E136" s="49"/>
      <c r="F136" s="49"/>
    </row>
    <row r="137" spans="3:6" s="4" customFormat="1" ht="13.5">
      <c r="C137" s="49"/>
      <c r="D137" s="49"/>
      <c r="E137" s="49"/>
      <c r="F137" s="49"/>
    </row>
    <row r="138" spans="3:6" s="4" customFormat="1" ht="13.5">
      <c r="C138" s="49"/>
      <c r="D138" s="49"/>
      <c r="E138" s="49"/>
      <c r="F138" s="49"/>
    </row>
    <row r="139" spans="3:6" s="4" customFormat="1" ht="13.5">
      <c r="C139" s="49"/>
      <c r="D139" s="49"/>
      <c r="E139" s="49"/>
      <c r="F139" s="49"/>
    </row>
    <row r="140" spans="3:6" s="4" customFormat="1" ht="13.5">
      <c r="C140" s="49"/>
      <c r="D140" s="49"/>
      <c r="E140" s="49"/>
      <c r="F140" s="49"/>
    </row>
    <row r="141" spans="3:6" s="4" customFormat="1" ht="13.5">
      <c r="C141" s="49"/>
      <c r="D141" s="49"/>
      <c r="E141" s="49"/>
      <c r="F141" s="49"/>
    </row>
    <row r="142" spans="3:6" s="4" customFormat="1" ht="13.5">
      <c r="C142" s="49"/>
      <c r="D142" s="49"/>
      <c r="E142" s="49"/>
      <c r="F142" s="49"/>
    </row>
    <row r="143" spans="3:6" s="4" customFormat="1" ht="13.5">
      <c r="C143" s="49"/>
      <c r="D143" s="49"/>
      <c r="E143" s="49"/>
      <c r="F143" s="49"/>
    </row>
    <row r="144" spans="3:6" s="4" customFormat="1" ht="13.5">
      <c r="C144" s="49"/>
      <c r="D144" s="49"/>
      <c r="E144" s="49"/>
      <c r="F144" s="49"/>
    </row>
    <row r="145" spans="3:6" s="4" customFormat="1" ht="13.5">
      <c r="C145" s="49"/>
      <c r="D145" s="49"/>
      <c r="E145" s="49"/>
      <c r="F145" s="49"/>
    </row>
    <row r="146" spans="3:6" s="4" customFormat="1" ht="13.5">
      <c r="C146" s="49"/>
      <c r="D146" s="49"/>
      <c r="E146" s="49"/>
      <c r="F146" s="49"/>
    </row>
    <row r="147" spans="3:6" s="4" customFormat="1" ht="13.5">
      <c r="C147" s="49"/>
      <c r="D147" s="49"/>
      <c r="E147" s="49"/>
      <c r="F147" s="49"/>
    </row>
    <row r="148" spans="3:6" s="4" customFormat="1" ht="13.5">
      <c r="C148" s="49"/>
      <c r="D148" s="49"/>
      <c r="E148" s="49"/>
      <c r="F148" s="49"/>
    </row>
    <row r="149" spans="3:6" s="4" customFormat="1" ht="13.5">
      <c r="C149" s="49"/>
      <c r="D149" s="49"/>
      <c r="E149" s="49"/>
      <c r="F149" s="49"/>
    </row>
    <row r="150" spans="3:6" s="4" customFormat="1" ht="13.5">
      <c r="C150" s="49"/>
      <c r="D150" s="49"/>
      <c r="E150" s="49"/>
      <c r="F150" s="49"/>
    </row>
    <row r="151" spans="3:6" s="4" customFormat="1" ht="13.5">
      <c r="C151" s="49"/>
      <c r="D151" s="49"/>
      <c r="E151" s="49"/>
      <c r="F151" s="49"/>
    </row>
    <row r="152" spans="3:6" s="4" customFormat="1" ht="13.5">
      <c r="C152" s="49"/>
      <c r="D152" s="49"/>
      <c r="E152" s="49"/>
      <c r="F152" s="49"/>
    </row>
    <row r="153" spans="3:6" s="4" customFormat="1" ht="13.5">
      <c r="C153" s="49"/>
      <c r="D153" s="49"/>
      <c r="E153" s="49"/>
      <c r="F153" s="49"/>
    </row>
    <row r="154" spans="3:6" s="4" customFormat="1" ht="13.5">
      <c r="C154" s="49"/>
      <c r="D154" s="49"/>
      <c r="E154" s="49"/>
      <c r="F154" s="49"/>
    </row>
    <row r="155" spans="3:6" s="4" customFormat="1" ht="13.5">
      <c r="C155" s="49"/>
      <c r="D155" s="49"/>
      <c r="E155" s="49"/>
      <c r="F155" s="49"/>
    </row>
    <row r="156" spans="3:6" s="4" customFormat="1" ht="13.5">
      <c r="C156" s="49"/>
      <c r="D156" s="49"/>
      <c r="E156" s="49"/>
      <c r="F156" s="49"/>
    </row>
    <row r="157" spans="3:6" s="4" customFormat="1" ht="13.5">
      <c r="C157" s="49"/>
      <c r="D157" s="49"/>
      <c r="E157" s="49"/>
      <c r="F157" s="49"/>
    </row>
    <row r="158" spans="3:6" s="4" customFormat="1" ht="13.5">
      <c r="C158" s="49"/>
      <c r="D158" s="49"/>
      <c r="E158" s="49"/>
      <c r="F158" s="49"/>
    </row>
    <row r="159" spans="3:6" s="4" customFormat="1" ht="13.5">
      <c r="C159" s="49"/>
      <c r="D159" s="49"/>
      <c r="E159" s="49"/>
      <c r="F159" s="49"/>
    </row>
    <row r="160" spans="3:6" s="4" customFormat="1" ht="13.5">
      <c r="C160" s="49"/>
      <c r="D160" s="49"/>
      <c r="E160" s="49"/>
      <c r="F160" s="49"/>
    </row>
    <row r="161" spans="3:6" s="4" customFormat="1" ht="13.5">
      <c r="C161" s="49"/>
      <c r="D161" s="49"/>
      <c r="E161" s="49"/>
      <c r="F161" s="49"/>
    </row>
    <row r="162" spans="3:6" s="4" customFormat="1" ht="13.5">
      <c r="C162" s="49"/>
      <c r="D162" s="49"/>
      <c r="E162" s="49"/>
      <c r="F162" s="49"/>
    </row>
    <row r="163" spans="3:6" s="4" customFormat="1" ht="13.5">
      <c r="C163" s="49"/>
      <c r="D163" s="49"/>
      <c r="E163" s="49"/>
      <c r="F163" s="49"/>
    </row>
    <row r="164" spans="3:6" s="4" customFormat="1" ht="13.5">
      <c r="C164" s="49"/>
      <c r="D164" s="49"/>
      <c r="E164" s="49"/>
      <c r="F164" s="49"/>
    </row>
    <row r="165" spans="3:6" s="4" customFormat="1" ht="13.5">
      <c r="C165" s="49"/>
      <c r="D165" s="49"/>
      <c r="E165" s="49"/>
      <c r="F165" s="49"/>
    </row>
    <row r="166" spans="3:6" s="4" customFormat="1" ht="13.5">
      <c r="C166" s="49"/>
      <c r="D166" s="49"/>
      <c r="E166" s="49"/>
      <c r="F166" s="49"/>
    </row>
    <row r="167" spans="3:6" s="4" customFormat="1" ht="13.5">
      <c r="C167" s="49"/>
      <c r="D167" s="49"/>
      <c r="E167" s="49"/>
      <c r="F167" s="49"/>
    </row>
    <row r="168" spans="3:6" s="4" customFormat="1" ht="13.5">
      <c r="C168" s="49"/>
      <c r="D168" s="49"/>
      <c r="E168" s="49"/>
      <c r="F168" s="49"/>
    </row>
    <row r="169" spans="3:6" s="4" customFormat="1" ht="13.5">
      <c r="C169" s="49"/>
      <c r="D169" s="49"/>
      <c r="E169" s="49"/>
      <c r="F169" s="49"/>
    </row>
    <row r="170" spans="3:6" s="4" customFormat="1" ht="13.5">
      <c r="C170" s="49"/>
      <c r="D170" s="49"/>
      <c r="E170" s="49"/>
      <c r="F170" s="49"/>
    </row>
    <row r="171" spans="3:6" s="4" customFormat="1" ht="13.5">
      <c r="C171" s="49"/>
      <c r="D171" s="49"/>
      <c r="E171" s="49"/>
      <c r="F171" s="49"/>
    </row>
    <row r="172" spans="3:6" s="4" customFormat="1" ht="13.5">
      <c r="C172" s="49"/>
      <c r="D172" s="49"/>
      <c r="E172" s="49"/>
      <c r="F172" s="49"/>
    </row>
    <row r="173" spans="3:6" s="4" customFormat="1" ht="13.5">
      <c r="C173" s="49"/>
      <c r="D173" s="49"/>
      <c r="E173" s="49"/>
      <c r="F173" s="49"/>
    </row>
    <row r="174" spans="3:6" s="4" customFormat="1" ht="13.5">
      <c r="C174" s="49"/>
      <c r="D174" s="49"/>
      <c r="E174" s="49"/>
      <c r="F174" s="49"/>
    </row>
    <row r="175" spans="3:6" s="4" customFormat="1" ht="13.5">
      <c r="C175" s="49"/>
      <c r="D175" s="49"/>
      <c r="E175" s="49"/>
      <c r="F175" s="49"/>
    </row>
    <row r="176" spans="3:6" s="4" customFormat="1" ht="13.5">
      <c r="C176" s="49"/>
      <c r="D176" s="49"/>
      <c r="E176" s="49"/>
      <c r="F176" s="49"/>
    </row>
    <row r="177" spans="3:6" s="4" customFormat="1" ht="13.5">
      <c r="C177" s="49"/>
      <c r="D177" s="49"/>
      <c r="E177" s="49"/>
      <c r="F177" s="49"/>
    </row>
    <row r="178" spans="3:6" s="4" customFormat="1" ht="13.5">
      <c r="C178" s="49"/>
      <c r="D178" s="49"/>
      <c r="E178" s="49"/>
      <c r="F178" s="49"/>
    </row>
    <row r="179" spans="3:6" s="4" customFormat="1" ht="13.5">
      <c r="C179" s="49"/>
      <c r="D179" s="49"/>
      <c r="E179" s="49"/>
      <c r="F179" s="49"/>
    </row>
    <row r="180" spans="3:6" s="4" customFormat="1" ht="13.5">
      <c r="C180" s="49"/>
      <c r="D180" s="49"/>
      <c r="E180" s="49"/>
      <c r="F180" s="49"/>
    </row>
    <row r="181" spans="3:6" s="4" customFormat="1" ht="13.5">
      <c r="C181" s="49"/>
      <c r="D181" s="49"/>
      <c r="E181" s="49"/>
      <c r="F181" s="49"/>
    </row>
    <row r="182" spans="3:6" s="4" customFormat="1" ht="13.5">
      <c r="C182" s="49"/>
      <c r="D182" s="49"/>
      <c r="E182" s="49"/>
      <c r="F182" s="49"/>
    </row>
    <row r="183" spans="3:6" s="4" customFormat="1" ht="13.5">
      <c r="C183" s="49"/>
      <c r="D183" s="49"/>
      <c r="E183" s="49"/>
      <c r="F183" s="49"/>
    </row>
    <row r="184" spans="3:6" s="4" customFormat="1" ht="13.5">
      <c r="C184" s="49"/>
      <c r="D184" s="49"/>
      <c r="E184" s="49"/>
      <c r="F184" s="49"/>
    </row>
    <row r="185" spans="3:6" s="4" customFormat="1" ht="13.5">
      <c r="C185" s="49"/>
      <c r="D185" s="49"/>
      <c r="E185" s="49"/>
      <c r="F185" s="49"/>
    </row>
    <row r="186" spans="3:6" s="4" customFormat="1" ht="13.5">
      <c r="C186" s="49"/>
      <c r="D186" s="49"/>
      <c r="E186" s="49"/>
      <c r="F186" s="49"/>
    </row>
    <row r="187" spans="3:6" s="4" customFormat="1" ht="13.5">
      <c r="C187" s="49"/>
      <c r="D187" s="49"/>
      <c r="E187" s="49"/>
      <c r="F187" s="49"/>
    </row>
    <row r="188" spans="3:6" s="4" customFormat="1" ht="13.5">
      <c r="C188" s="49"/>
      <c r="D188" s="49"/>
      <c r="E188" s="49"/>
      <c r="F188" s="49"/>
    </row>
    <row r="189" spans="3:6" s="4" customFormat="1" ht="13.5">
      <c r="C189" s="49"/>
      <c r="D189" s="49"/>
      <c r="E189" s="49"/>
      <c r="F189" s="49"/>
    </row>
    <row r="190" spans="3:6" s="4" customFormat="1" ht="13.5">
      <c r="C190" s="49"/>
      <c r="D190" s="49"/>
      <c r="E190" s="49"/>
      <c r="F190" s="49"/>
    </row>
    <row r="191" spans="3:6" s="4" customFormat="1" ht="13.5">
      <c r="C191" s="49"/>
      <c r="D191" s="49"/>
      <c r="E191" s="49"/>
      <c r="F191" s="49"/>
    </row>
    <row r="192" spans="3:6" s="4" customFormat="1" ht="13.5">
      <c r="C192" s="49"/>
      <c r="D192" s="49"/>
      <c r="E192" s="49"/>
      <c r="F192" s="49"/>
    </row>
    <row r="193" spans="3:6" s="4" customFormat="1" ht="13.5">
      <c r="C193" s="49"/>
      <c r="D193" s="49"/>
      <c r="E193" s="49"/>
      <c r="F193" s="49"/>
    </row>
    <row r="194" spans="3:6" s="4" customFormat="1" ht="13.5">
      <c r="C194" s="49"/>
      <c r="D194" s="49"/>
      <c r="E194" s="49"/>
      <c r="F194" s="49"/>
    </row>
    <row r="195" spans="3:6" s="4" customFormat="1" ht="13.5">
      <c r="C195" s="49"/>
      <c r="D195" s="49"/>
      <c r="E195" s="49"/>
      <c r="F195" s="49"/>
    </row>
    <row r="196" spans="3:6" s="4" customFormat="1" ht="13.5">
      <c r="C196" s="49"/>
      <c r="D196" s="49"/>
      <c r="E196" s="49"/>
      <c r="F196" s="49"/>
    </row>
    <row r="197" spans="3:6" s="4" customFormat="1" ht="13.5">
      <c r="C197" s="49"/>
      <c r="D197" s="49"/>
      <c r="E197" s="49"/>
      <c r="F197" s="49"/>
    </row>
    <row r="198" spans="3:6" s="4" customFormat="1" ht="13.5">
      <c r="C198" s="49"/>
      <c r="D198" s="49"/>
      <c r="E198" s="49"/>
      <c r="F198" s="49"/>
    </row>
    <row r="199" spans="3:6" s="4" customFormat="1" ht="13.5">
      <c r="C199" s="49"/>
      <c r="D199" s="49"/>
      <c r="E199" s="49"/>
      <c r="F199" s="49"/>
    </row>
    <row r="200" spans="3:6" s="4" customFormat="1" ht="13.5">
      <c r="C200" s="49"/>
      <c r="D200" s="49"/>
      <c r="E200" s="49"/>
      <c r="F200" s="49"/>
    </row>
    <row r="201" spans="3:6" s="4" customFormat="1" ht="13.5">
      <c r="C201" s="49"/>
      <c r="D201" s="49"/>
      <c r="E201" s="49"/>
      <c r="F201" s="49"/>
    </row>
    <row r="202" spans="3:6" s="4" customFormat="1" ht="13.5">
      <c r="C202" s="49"/>
      <c r="D202" s="49"/>
      <c r="E202" s="49"/>
      <c r="F202" s="49"/>
    </row>
    <row r="203" spans="3:6" s="4" customFormat="1" ht="13.5">
      <c r="C203" s="49"/>
      <c r="D203" s="49"/>
      <c r="E203" s="49"/>
      <c r="F203" s="49"/>
    </row>
    <row r="204" spans="3:6" s="4" customFormat="1" ht="13.5">
      <c r="C204" s="49"/>
      <c r="D204" s="49"/>
      <c r="E204" s="49"/>
      <c r="F204" s="49"/>
    </row>
    <row r="205" spans="3:6" s="4" customFormat="1" ht="13.5">
      <c r="C205" s="49"/>
      <c r="D205" s="49"/>
      <c r="E205" s="49"/>
      <c r="F205" s="49"/>
    </row>
    <row r="206" spans="3:6" s="4" customFormat="1" ht="13.5">
      <c r="C206" s="49"/>
      <c r="D206" s="49"/>
      <c r="E206" s="49"/>
      <c r="F206" s="49"/>
    </row>
    <row r="207" spans="3:6" s="4" customFormat="1" ht="13.5">
      <c r="C207" s="49"/>
      <c r="D207" s="49"/>
      <c r="E207" s="49"/>
      <c r="F207" s="49"/>
    </row>
    <row r="208" spans="3:6" s="4" customFormat="1" ht="13.5">
      <c r="C208" s="49"/>
      <c r="D208" s="49"/>
      <c r="E208" s="49"/>
      <c r="F208" s="49"/>
    </row>
    <row r="209" spans="3:6" s="4" customFormat="1" ht="13.5">
      <c r="C209" s="49"/>
      <c r="D209" s="49"/>
      <c r="E209" s="49"/>
      <c r="F209" s="49"/>
    </row>
    <row r="210" spans="3:6" s="4" customFormat="1" ht="13.5">
      <c r="C210" s="49"/>
      <c r="D210" s="49"/>
      <c r="E210" s="49"/>
      <c r="F210" s="49"/>
    </row>
    <row r="211" spans="3:6" s="4" customFormat="1" ht="13.5">
      <c r="C211" s="49"/>
      <c r="D211" s="49"/>
      <c r="E211" s="49"/>
      <c r="F211" s="49"/>
    </row>
    <row r="212" spans="3:6" s="4" customFormat="1" ht="13.5">
      <c r="C212" s="49"/>
      <c r="D212" s="49"/>
      <c r="E212" s="49"/>
      <c r="F212" s="49"/>
    </row>
    <row r="213" spans="3:6" s="4" customFormat="1" ht="13.5">
      <c r="C213" s="49"/>
      <c r="D213" s="49"/>
      <c r="E213" s="49"/>
      <c r="F213" s="49"/>
    </row>
    <row r="214" spans="3:6" s="4" customFormat="1" ht="13.5">
      <c r="C214" s="49"/>
      <c r="D214" s="49"/>
      <c r="E214" s="49"/>
      <c r="F214" s="49"/>
    </row>
    <row r="215" spans="3:6" s="4" customFormat="1" ht="13.5">
      <c r="C215" s="49"/>
      <c r="D215" s="49"/>
      <c r="E215" s="49"/>
      <c r="F215" s="49"/>
    </row>
    <row r="216" spans="3:6" s="4" customFormat="1" ht="13.5">
      <c r="C216" s="49"/>
      <c r="D216" s="49"/>
      <c r="E216" s="49"/>
      <c r="F216" s="49"/>
    </row>
    <row r="217" spans="3:6" s="4" customFormat="1" ht="13.5">
      <c r="C217" s="49"/>
      <c r="D217" s="49"/>
      <c r="E217" s="49"/>
      <c r="F217" s="49"/>
    </row>
    <row r="218" spans="3:6" s="4" customFormat="1" ht="13.5">
      <c r="C218" s="49"/>
      <c r="D218" s="49"/>
      <c r="E218" s="49"/>
      <c r="F218" s="49"/>
    </row>
    <row r="219" spans="3:6" s="4" customFormat="1" ht="13.5">
      <c r="C219" s="49"/>
      <c r="D219" s="49"/>
      <c r="E219" s="49"/>
      <c r="F219" s="49"/>
    </row>
    <row r="220" spans="3:6" s="4" customFormat="1" ht="13.5">
      <c r="C220" s="49"/>
      <c r="D220" s="49"/>
      <c r="E220" s="49"/>
      <c r="F220" s="49"/>
    </row>
    <row r="221" spans="3:6" s="4" customFormat="1" ht="13.5">
      <c r="C221" s="49"/>
      <c r="D221" s="49"/>
      <c r="E221" s="49"/>
      <c r="F221" s="49"/>
    </row>
    <row r="222" spans="3:6" s="4" customFormat="1" ht="13.5">
      <c r="C222" s="49"/>
      <c r="D222" s="49"/>
      <c r="E222" s="49"/>
      <c r="F222" s="49"/>
    </row>
    <row r="223" spans="3:6" s="4" customFormat="1" ht="13.5">
      <c r="C223" s="49"/>
      <c r="D223" s="49"/>
      <c r="E223" s="49"/>
      <c r="F223" s="49"/>
    </row>
    <row r="224" spans="3:6" s="4" customFormat="1" ht="13.5">
      <c r="C224" s="49"/>
      <c r="D224" s="49"/>
      <c r="E224" s="49"/>
      <c r="F224" s="49"/>
    </row>
    <row r="225" spans="3:6" s="4" customFormat="1" ht="13.5">
      <c r="C225" s="49"/>
      <c r="D225" s="49"/>
      <c r="E225" s="49"/>
      <c r="F225" s="49"/>
    </row>
    <row r="226" spans="3:6" s="4" customFormat="1" ht="13.5">
      <c r="C226" s="49"/>
      <c r="D226" s="49"/>
      <c r="E226" s="49"/>
      <c r="F226" s="49"/>
    </row>
    <row r="227" spans="3:6" s="4" customFormat="1" ht="13.5">
      <c r="C227" s="49"/>
      <c r="D227" s="49"/>
      <c r="E227" s="49"/>
      <c r="F227" s="49"/>
    </row>
    <row r="228" spans="3:6" s="4" customFormat="1" ht="13.5">
      <c r="C228" s="49"/>
      <c r="D228" s="49"/>
      <c r="E228" s="49"/>
      <c r="F228" s="49"/>
    </row>
    <row r="229" spans="3:6" s="4" customFormat="1" ht="13.5">
      <c r="C229" s="49"/>
      <c r="D229" s="49"/>
      <c r="E229" s="49"/>
      <c r="F229" s="49"/>
    </row>
    <row r="230" spans="3:6" s="4" customFormat="1" ht="13.5">
      <c r="C230" s="49"/>
      <c r="D230" s="49"/>
      <c r="E230" s="49"/>
      <c r="F230" s="49"/>
    </row>
    <row r="231" spans="3:6" s="4" customFormat="1" ht="13.5">
      <c r="C231" s="49"/>
      <c r="D231" s="49"/>
      <c r="E231" s="49"/>
      <c r="F231" s="49"/>
    </row>
    <row r="232" spans="3:6" s="4" customFormat="1" ht="13.5">
      <c r="C232" s="49"/>
      <c r="D232" s="49"/>
      <c r="E232" s="49"/>
      <c r="F232" s="49"/>
    </row>
    <row r="233" spans="3:6" s="4" customFormat="1" ht="13.5">
      <c r="C233" s="49"/>
      <c r="D233" s="49"/>
      <c r="E233" s="49"/>
      <c r="F233" s="49"/>
    </row>
    <row r="234" spans="3:6" s="4" customFormat="1" ht="13.5">
      <c r="C234" s="49"/>
      <c r="D234" s="49"/>
      <c r="E234" s="49"/>
      <c r="F234" s="49"/>
    </row>
    <row r="235" spans="3:6" s="4" customFormat="1" ht="13.5">
      <c r="C235" s="49"/>
      <c r="D235" s="49"/>
      <c r="E235" s="49"/>
      <c r="F235" s="49"/>
    </row>
    <row r="236" spans="3:6" s="4" customFormat="1" ht="13.5">
      <c r="C236" s="49"/>
      <c r="D236" s="49"/>
      <c r="E236" s="49"/>
      <c r="F236" s="49"/>
    </row>
    <row r="237" spans="3:6" s="4" customFormat="1" ht="13.5">
      <c r="C237" s="49"/>
      <c r="D237" s="49"/>
      <c r="E237" s="49"/>
      <c r="F237" s="49"/>
    </row>
    <row r="238" spans="3:6" s="4" customFormat="1" ht="13.5">
      <c r="C238" s="49"/>
      <c r="D238" s="49"/>
      <c r="E238" s="49"/>
      <c r="F238" s="49"/>
    </row>
    <row r="239" spans="3:6" s="4" customFormat="1" ht="13.5">
      <c r="C239" s="49"/>
      <c r="D239" s="49"/>
      <c r="E239" s="49"/>
      <c r="F239" s="49"/>
    </row>
    <row r="240" spans="3:6" s="4" customFormat="1" ht="13.5">
      <c r="C240" s="49"/>
      <c r="D240" s="49"/>
      <c r="E240" s="49"/>
      <c r="F240" s="49"/>
    </row>
    <row r="241" spans="3:6" s="4" customFormat="1" ht="13.5">
      <c r="C241" s="49"/>
      <c r="D241" s="49"/>
      <c r="E241" s="49"/>
      <c r="F241" s="49"/>
    </row>
    <row r="242" spans="3:6" s="4" customFormat="1" ht="13.5">
      <c r="C242" s="49"/>
      <c r="D242" s="49"/>
      <c r="E242" s="49"/>
      <c r="F242" s="49"/>
    </row>
    <row r="243" spans="3:6" s="4" customFormat="1" ht="13.5">
      <c r="C243" s="49"/>
      <c r="D243" s="49"/>
      <c r="E243" s="49"/>
      <c r="F243" s="49"/>
    </row>
    <row r="244" spans="3:6" s="4" customFormat="1" ht="13.5">
      <c r="C244" s="49"/>
      <c r="D244" s="49"/>
      <c r="E244" s="49"/>
      <c r="F244" s="49"/>
    </row>
    <row r="245" spans="3:6" s="4" customFormat="1" ht="13.5">
      <c r="C245" s="49"/>
      <c r="D245" s="49"/>
      <c r="E245" s="49"/>
      <c r="F245" s="49"/>
    </row>
    <row r="246" spans="3:6" s="4" customFormat="1" ht="13.5">
      <c r="C246" s="49"/>
      <c r="D246" s="49"/>
      <c r="E246" s="49"/>
      <c r="F246" s="49"/>
    </row>
    <row r="247" spans="3:6" s="4" customFormat="1" ht="13.5">
      <c r="C247" s="49"/>
      <c r="D247" s="49"/>
      <c r="E247" s="49"/>
      <c r="F247" s="49"/>
    </row>
    <row r="248" spans="3:6" s="4" customFormat="1" ht="13.5">
      <c r="C248" s="49"/>
      <c r="D248" s="49"/>
      <c r="E248" s="49"/>
      <c r="F248" s="49"/>
    </row>
    <row r="249" spans="3:6" s="4" customFormat="1" ht="13.5">
      <c r="C249" s="49"/>
      <c r="D249" s="49"/>
      <c r="E249" s="49"/>
      <c r="F249" s="49"/>
    </row>
  </sheetData>
  <sheetProtection/>
  <mergeCells count="3">
    <mergeCell ref="A3:C3"/>
    <mergeCell ref="A4:M4"/>
    <mergeCell ref="A1:M2"/>
  </mergeCells>
  <printOptions/>
  <pageMargins left="0.35433070866141736" right="0.1968503937007874" top="0.5118110236220472" bottom="0.5118110236220472" header="0.2362204724409449" footer="0.15748031496062992"/>
  <pageSetup firstPageNumber="2" useFirstPageNumber="1"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62"/>
  <sheetViews>
    <sheetView zoomScalePageLayoutView="0" workbookViewId="0" topLeftCell="A40">
      <selection activeCell="D60" sqref="D60:E61"/>
    </sheetView>
  </sheetViews>
  <sheetFormatPr defaultColWidth="9.140625" defaultRowHeight="12.75"/>
  <cols>
    <col min="1" max="1" width="11.28125" style="0" customWidth="1"/>
    <col min="2" max="2" width="38.8515625" style="0" bestFit="1" customWidth="1"/>
    <col min="3" max="3" width="49.00390625" style="0" customWidth="1"/>
    <col min="4" max="4" width="28.7109375" style="0" customWidth="1"/>
    <col min="5" max="6" width="13.57421875" style="0" bestFit="1" customWidth="1"/>
    <col min="7" max="7" width="12.421875" style="0" bestFit="1" customWidth="1"/>
    <col min="8" max="8" width="6.57421875" style="0" bestFit="1" customWidth="1"/>
  </cols>
  <sheetData>
    <row r="1" spans="1:5" ht="12.75">
      <c r="A1" s="672" t="s">
        <v>562</v>
      </c>
      <c r="B1" s="672"/>
      <c r="C1" s="672"/>
      <c r="D1" s="672"/>
      <c r="E1" s="672"/>
    </row>
    <row r="2" spans="1:5" s="50" customFormat="1" ht="32.25" customHeight="1">
      <c r="A2" s="56" t="s">
        <v>212</v>
      </c>
      <c r="B2" s="56" t="s">
        <v>213</v>
      </c>
      <c r="C2" s="56" t="s">
        <v>214</v>
      </c>
      <c r="D2" s="56" t="s">
        <v>210</v>
      </c>
      <c r="E2" s="56" t="s">
        <v>211</v>
      </c>
    </row>
    <row r="3" spans="1:5" ht="19.5" customHeight="1">
      <c r="A3" t="s">
        <v>232</v>
      </c>
      <c r="B3" s="51" t="s">
        <v>124</v>
      </c>
      <c r="C3" s="51" t="s">
        <v>231</v>
      </c>
      <c r="D3" s="51" t="s">
        <v>291</v>
      </c>
      <c r="E3" s="52">
        <v>3000</v>
      </c>
    </row>
    <row r="4" spans="2:5" ht="19.5" customHeight="1">
      <c r="B4" s="51"/>
      <c r="C4" s="51"/>
      <c r="D4" s="51"/>
      <c r="E4" s="52"/>
    </row>
    <row r="5" spans="1:5" ht="19.5" customHeight="1">
      <c r="A5" s="51" t="s">
        <v>217</v>
      </c>
      <c r="B5" s="51" t="s">
        <v>125</v>
      </c>
      <c r="C5" s="51" t="s">
        <v>235</v>
      </c>
      <c r="D5" s="51" t="s">
        <v>216</v>
      </c>
      <c r="E5" s="52">
        <v>200</v>
      </c>
    </row>
    <row r="6" spans="1:5" ht="19.5" customHeight="1">
      <c r="A6" s="51"/>
      <c r="B6" s="51"/>
      <c r="C6" s="51"/>
      <c r="D6" s="51"/>
      <c r="E6" s="52"/>
    </row>
    <row r="7" spans="1:5" ht="19.5" customHeight="1">
      <c r="A7" s="51" t="s">
        <v>220</v>
      </c>
      <c r="B7" s="51" t="s">
        <v>126</v>
      </c>
      <c r="C7" s="51" t="s">
        <v>233</v>
      </c>
      <c r="D7" s="51" t="s">
        <v>237</v>
      </c>
      <c r="E7" s="52">
        <v>5000</v>
      </c>
    </row>
    <row r="8" spans="1:5" ht="19.5" customHeight="1">
      <c r="A8" s="51" t="s">
        <v>220</v>
      </c>
      <c r="B8" s="51" t="s">
        <v>126</v>
      </c>
      <c r="C8" s="51" t="s">
        <v>234</v>
      </c>
      <c r="D8" s="51" t="s">
        <v>252</v>
      </c>
      <c r="E8" s="52">
        <v>3100</v>
      </c>
    </row>
    <row r="9" spans="1:5" ht="19.5" customHeight="1">
      <c r="A9" s="51"/>
      <c r="B9" s="51"/>
      <c r="C9" s="51"/>
      <c r="D9" s="51"/>
      <c r="E9" s="52"/>
    </row>
    <row r="10" spans="1:5" s="50" customFormat="1" ht="25.5">
      <c r="A10" s="79" t="s">
        <v>239</v>
      </c>
      <c r="B10" s="79" t="s">
        <v>240</v>
      </c>
      <c r="C10" s="79" t="s">
        <v>236</v>
      </c>
      <c r="D10" s="79" t="s">
        <v>238</v>
      </c>
      <c r="E10" s="80">
        <v>0</v>
      </c>
    </row>
    <row r="11" spans="5:7" s="81" customFormat="1" ht="12.75">
      <c r="E11" s="82"/>
      <c r="F11" s="346"/>
      <c r="G11" s="346"/>
    </row>
    <row r="12" spans="1:7" s="81" customFormat="1" ht="12.75">
      <c r="A12" s="79" t="s">
        <v>276</v>
      </c>
      <c r="B12" s="79" t="s">
        <v>275</v>
      </c>
      <c r="C12" s="79" t="s">
        <v>277</v>
      </c>
      <c r="D12" s="79" t="s">
        <v>278</v>
      </c>
      <c r="E12" s="80">
        <v>0</v>
      </c>
      <c r="F12" s="82">
        <v>15000</v>
      </c>
      <c r="G12" s="248"/>
    </row>
    <row r="13" spans="1:7" s="81" customFormat="1" ht="12.75">
      <c r="A13" s="79" t="s">
        <v>276</v>
      </c>
      <c r="B13" s="79" t="s">
        <v>275</v>
      </c>
      <c r="C13" s="79" t="s">
        <v>563</v>
      </c>
      <c r="D13" s="81" t="s">
        <v>564</v>
      </c>
      <c r="E13" s="80">
        <v>0</v>
      </c>
      <c r="F13" s="82">
        <v>2500</v>
      </c>
      <c r="G13" s="248"/>
    </row>
    <row r="14" spans="1:7" s="81" customFormat="1" ht="12.75">
      <c r="A14" s="79"/>
      <c r="B14" s="79"/>
      <c r="C14" s="79"/>
      <c r="E14" s="82"/>
      <c r="F14" s="91"/>
      <c r="G14" s="248"/>
    </row>
    <row r="15" spans="1:7" ht="19.5" customHeight="1">
      <c r="A15" s="51" t="s">
        <v>251</v>
      </c>
      <c r="B15" s="51" t="s">
        <v>69</v>
      </c>
      <c r="C15" s="51" t="s">
        <v>69</v>
      </c>
      <c r="D15" s="51" t="s">
        <v>238</v>
      </c>
      <c r="E15" s="52">
        <v>250</v>
      </c>
      <c r="F15" s="80"/>
      <c r="G15" s="257"/>
    </row>
    <row r="16" spans="1:7" ht="19.5" customHeight="1">
      <c r="A16" s="51"/>
      <c r="B16" s="51"/>
      <c r="C16" s="51"/>
      <c r="D16" s="51"/>
      <c r="E16" s="52"/>
      <c r="F16" s="257"/>
      <c r="G16" s="257"/>
    </row>
    <row r="17" spans="1:7" ht="19.5" customHeight="1">
      <c r="A17" s="51" t="s">
        <v>58</v>
      </c>
      <c r="B17" s="51" t="s">
        <v>71</v>
      </c>
      <c r="C17" s="51" t="s">
        <v>267</v>
      </c>
      <c r="D17" s="51" t="s">
        <v>237</v>
      </c>
      <c r="E17" s="52">
        <v>250</v>
      </c>
      <c r="F17" s="257"/>
      <c r="G17" s="257"/>
    </row>
    <row r="18" spans="1:5" ht="19.5" customHeight="1">
      <c r="A18" s="51"/>
      <c r="B18" s="51"/>
      <c r="C18" s="51"/>
      <c r="D18" s="51"/>
      <c r="E18" s="52"/>
    </row>
    <row r="19" spans="1:5" ht="19.5" customHeight="1">
      <c r="A19" s="51" t="s">
        <v>224</v>
      </c>
      <c r="B19" s="51" t="s">
        <v>70</v>
      </c>
      <c r="C19" s="51" t="s">
        <v>70</v>
      </c>
      <c r="D19" s="51" t="s">
        <v>216</v>
      </c>
      <c r="E19" s="52">
        <v>0</v>
      </c>
    </row>
    <row r="20" spans="1:5" ht="19.5" customHeight="1">
      <c r="A20" s="51"/>
      <c r="B20" s="51"/>
      <c r="C20" s="51"/>
      <c r="D20" s="51"/>
      <c r="E20" s="52"/>
    </row>
    <row r="21" spans="1:5" ht="19.5" customHeight="1">
      <c r="A21" s="51" t="s">
        <v>219</v>
      </c>
      <c r="B21" s="51" t="s">
        <v>158</v>
      </c>
      <c r="C21" s="51" t="s">
        <v>241</v>
      </c>
      <c r="D21" s="51" t="s">
        <v>218</v>
      </c>
      <c r="E21" s="52">
        <v>450</v>
      </c>
    </row>
    <row r="22" spans="1:5" ht="19.5" customHeight="1">
      <c r="A22" s="51"/>
      <c r="B22" s="51"/>
      <c r="C22" s="51"/>
      <c r="D22" s="51"/>
      <c r="E22" s="52"/>
    </row>
    <row r="23" spans="1:5" ht="19.5" customHeight="1">
      <c r="A23" s="51" t="s">
        <v>228</v>
      </c>
      <c r="B23" s="51" t="s">
        <v>243</v>
      </c>
      <c r="C23" s="51" t="s">
        <v>268</v>
      </c>
      <c r="D23" s="51" t="s">
        <v>215</v>
      </c>
      <c r="E23" s="52">
        <v>100</v>
      </c>
    </row>
    <row r="24" spans="1:5" ht="19.5" customHeight="1">
      <c r="A24" s="51"/>
      <c r="B24" s="51"/>
      <c r="C24" s="55"/>
      <c r="D24" s="55"/>
      <c r="E24" s="54"/>
    </row>
    <row r="25" spans="1:5" ht="19.5" customHeight="1">
      <c r="A25" s="51" t="s">
        <v>222</v>
      </c>
      <c r="B25" s="51" t="s">
        <v>142</v>
      </c>
      <c r="C25" s="51" t="s">
        <v>565</v>
      </c>
      <c r="D25" s="51" t="s">
        <v>215</v>
      </c>
      <c r="E25" s="52">
        <v>100.8</v>
      </c>
    </row>
    <row r="26" spans="1:255" s="51" customFormat="1" ht="19.5" customHeight="1">
      <c r="A26" s="51" t="s">
        <v>222</v>
      </c>
      <c r="B26" s="51" t="s">
        <v>142</v>
      </c>
      <c r="C26" s="51" t="s">
        <v>225</v>
      </c>
      <c r="D26" s="51" t="s">
        <v>226</v>
      </c>
      <c r="E26" s="52">
        <v>200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3:5" ht="19.5" customHeight="1">
      <c r="C27" s="51"/>
      <c r="D27" s="51"/>
      <c r="E27" s="52"/>
    </row>
    <row r="28" spans="1:8" ht="19.5" customHeight="1">
      <c r="A28" s="51" t="s">
        <v>229</v>
      </c>
      <c r="B28" s="51" t="s">
        <v>223</v>
      </c>
      <c r="C28" s="51" t="s">
        <v>566</v>
      </c>
      <c r="D28" s="51" t="s">
        <v>221</v>
      </c>
      <c r="E28" s="55">
        <v>3520</v>
      </c>
      <c r="G28" s="51"/>
      <c r="H28" s="55">
        <f>H24*22/100</f>
        <v>0</v>
      </c>
    </row>
    <row r="29" spans="1:8" ht="19.5" customHeight="1">
      <c r="A29" s="51" t="s">
        <v>229</v>
      </c>
      <c r="B29" s="51" t="s">
        <v>223</v>
      </c>
      <c r="C29" s="51" t="s">
        <v>567</v>
      </c>
      <c r="D29" s="51" t="s">
        <v>221</v>
      </c>
      <c r="E29" s="55">
        <v>4400</v>
      </c>
      <c r="G29" s="51"/>
      <c r="H29" s="55">
        <f>H25*22/100</f>
        <v>0</v>
      </c>
    </row>
    <row r="30" spans="1:5" ht="19.5" customHeight="1">
      <c r="A30" s="51" t="s">
        <v>229</v>
      </c>
      <c r="B30" s="51" t="s">
        <v>223</v>
      </c>
      <c r="C30" s="51" t="s">
        <v>568</v>
      </c>
      <c r="D30" s="51" t="s">
        <v>221</v>
      </c>
      <c r="E30" s="55">
        <v>11000</v>
      </c>
    </row>
    <row r="31" spans="1:5" ht="19.5" customHeight="1">
      <c r="A31" s="51"/>
      <c r="B31" s="51"/>
      <c r="C31" s="51"/>
      <c r="D31" s="51"/>
      <c r="E31" s="55"/>
    </row>
    <row r="32" spans="1:5" ht="19.5" customHeight="1">
      <c r="A32" s="51" t="s">
        <v>153</v>
      </c>
      <c r="B32" s="51" t="s">
        <v>151</v>
      </c>
      <c r="C32" s="51" t="s">
        <v>569</v>
      </c>
      <c r="E32" s="55">
        <v>486.13</v>
      </c>
    </row>
    <row r="33" spans="1:6" ht="35.25" customHeight="1">
      <c r="A33" s="188" t="s">
        <v>207</v>
      </c>
      <c r="B33" s="188" t="s">
        <v>208</v>
      </c>
      <c r="C33" s="224" t="s">
        <v>570</v>
      </c>
      <c r="D33" s="147"/>
      <c r="E33" s="55">
        <f>$E$58</f>
        <v>82175</v>
      </c>
      <c r="F33" s="147"/>
    </row>
    <row r="34" spans="1:6" ht="24" customHeight="1">
      <c r="A34" s="188"/>
      <c r="B34" s="91"/>
      <c r="C34" s="250"/>
      <c r="D34" s="147"/>
      <c r="E34" s="55"/>
      <c r="F34" s="147"/>
    </row>
    <row r="35" spans="1:5" ht="12.75">
      <c r="A35" s="188" t="s">
        <v>262</v>
      </c>
      <c r="B35" s="91" t="s">
        <v>263</v>
      </c>
      <c r="C35" s="257" t="s">
        <v>571</v>
      </c>
      <c r="D35" s="51" t="s">
        <v>238</v>
      </c>
      <c r="E35" s="293">
        <f>$F$48</f>
        <v>13484.842999999999</v>
      </c>
    </row>
    <row r="36" spans="1:5" ht="12.75">
      <c r="A36" s="188"/>
      <c r="B36" s="91"/>
      <c r="C36" s="85" t="s">
        <v>572</v>
      </c>
      <c r="D36" s="51" t="s">
        <v>238</v>
      </c>
      <c r="E36" s="293">
        <f>$F$49</f>
        <v>12767.625</v>
      </c>
    </row>
    <row r="37" spans="1:5" ht="12.75">
      <c r="A37" s="188"/>
      <c r="B37" s="188"/>
      <c r="C37" s="85"/>
      <c r="D37" s="51"/>
      <c r="E37" s="293"/>
    </row>
    <row r="38" spans="1:5" ht="35.25" customHeight="1">
      <c r="A38" s="51" t="s">
        <v>79</v>
      </c>
      <c r="B38" s="51" t="s">
        <v>0</v>
      </c>
      <c r="C38" s="79" t="s">
        <v>269</v>
      </c>
      <c r="D38" s="51" t="s">
        <v>221</v>
      </c>
      <c r="E38" s="52">
        <v>25000</v>
      </c>
    </row>
    <row r="39" spans="1:5" ht="35.25" customHeight="1">
      <c r="A39" s="51" t="s">
        <v>170</v>
      </c>
      <c r="B39" s="51" t="s">
        <v>44</v>
      </c>
      <c r="C39" s="79" t="s">
        <v>270</v>
      </c>
      <c r="D39" s="51" t="s">
        <v>253</v>
      </c>
      <c r="E39" s="52">
        <v>20000</v>
      </c>
    </row>
    <row r="40" spans="1:5" ht="12.75">
      <c r="A40" s="51" t="s">
        <v>173</v>
      </c>
      <c r="B40" s="51" t="s">
        <v>171</v>
      </c>
      <c r="C40" s="51" t="s">
        <v>321</v>
      </c>
      <c r="D40" s="51" t="s">
        <v>322</v>
      </c>
      <c r="E40" s="52">
        <v>100</v>
      </c>
    </row>
    <row r="41" ht="12.75">
      <c r="A41" s="52"/>
    </row>
    <row r="42" ht="12.75">
      <c r="A42" s="52"/>
    </row>
    <row r="43" ht="12.75">
      <c r="E43" s="54">
        <f>SUM(E3:E40)</f>
        <v>185584.398</v>
      </c>
    </row>
    <row r="45" ht="13.5" thickBot="1"/>
    <row r="46" spans="2:6" ht="15.75">
      <c r="B46" s="294" t="s">
        <v>349</v>
      </c>
      <c r="C46" s="295"/>
      <c r="D46" s="295"/>
      <c r="E46" s="295"/>
      <c r="F46" s="296"/>
    </row>
    <row r="47" spans="2:6" ht="12.75">
      <c r="B47" s="297" t="s">
        <v>287</v>
      </c>
      <c r="C47" s="85" t="s">
        <v>350</v>
      </c>
      <c r="D47" s="85" t="s">
        <v>351</v>
      </c>
      <c r="E47" s="85" t="s">
        <v>352</v>
      </c>
      <c r="F47" s="298" t="s">
        <v>353</v>
      </c>
    </row>
    <row r="48" spans="2:6" ht="12.75">
      <c r="B48" s="299" t="s">
        <v>571</v>
      </c>
      <c r="C48" s="293">
        <v>64384.5</v>
      </c>
      <c r="D48" s="293">
        <f>13901.9</f>
        <v>13901.9</v>
      </c>
      <c r="E48" s="293">
        <f>D48*3/100</f>
        <v>417.05699999999996</v>
      </c>
      <c r="F48" s="300">
        <f>D48-E48</f>
        <v>13484.842999999999</v>
      </c>
    </row>
    <row r="49" spans="2:6" ht="12.75">
      <c r="B49" s="297" t="s">
        <v>572</v>
      </c>
      <c r="C49" s="293">
        <v>26325</v>
      </c>
      <c r="D49" s="293">
        <v>13162.5</v>
      </c>
      <c r="E49" s="293">
        <f>D49*3/100</f>
        <v>394.875</v>
      </c>
      <c r="F49" s="300">
        <f>D49-E49</f>
        <v>12767.625</v>
      </c>
    </row>
    <row r="50" spans="2:6" ht="12.75">
      <c r="B50" s="299"/>
      <c r="C50" s="293"/>
      <c r="D50" s="301">
        <f>SUM(D48:D49)</f>
        <v>27064.4</v>
      </c>
      <c r="E50" s="301">
        <f>SUM(E48:E49)</f>
        <v>811.932</v>
      </c>
      <c r="F50" s="347">
        <f>D50-E50</f>
        <v>26252.468</v>
      </c>
    </row>
    <row r="51" spans="2:6" ht="13.5" thickBot="1">
      <c r="B51" s="302"/>
      <c r="C51" s="303"/>
      <c r="D51" s="303"/>
      <c r="E51" s="303"/>
      <c r="F51" s="304"/>
    </row>
    <row r="52" ht="13.5" thickBot="1"/>
    <row r="53" spans="2:5" ht="15.75">
      <c r="B53" s="294" t="s">
        <v>354</v>
      </c>
      <c r="C53" s="295"/>
      <c r="D53" s="295"/>
      <c r="E53" s="296"/>
    </row>
    <row r="54" spans="2:5" ht="12.75">
      <c r="B54" s="297" t="s">
        <v>287</v>
      </c>
      <c r="C54" s="85" t="s">
        <v>350</v>
      </c>
      <c r="D54" s="85" t="s">
        <v>352</v>
      </c>
      <c r="E54" s="298" t="s">
        <v>353</v>
      </c>
    </row>
    <row r="55" spans="2:6" ht="12.75">
      <c r="B55" s="297" t="s">
        <v>573</v>
      </c>
      <c r="C55" s="237">
        <v>9000</v>
      </c>
      <c r="D55" s="293">
        <f>C55*5/100</f>
        <v>450</v>
      </c>
      <c r="E55" s="300">
        <f>C55-D55</f>
        <v>8550</v>
      </c>
      <c r="F55" s="52"/>
    </row>
    <row r="56" spans="2:6" ht="12.75">
      <c r="B56" s="297" t="s">
        <v>574</v>
      </c>
      <c r="C56" s="237">
        <v>7500</v>
      </c>
      <c r="D56" s="293">
        <f>C56*5/100</f>
        <v>375</v>
      </c>
      <c r="E56" s="300">
        <f>C56-D56</f>
        <v>7125</v>
      </c>
      <c r="F56" s="52"/>
    </row>
    <row r="57" spans="2:5" ht="12.75">
      <c r="B57" s="348" t="s">
        <v>556</v>
      </c>
      <c r="C57" s="237">
        <v>70000</v>
      </c>
      <c r="D57" s="293">
        <f>C57*5/100</f>
        <v>3500</v>
      </c>
      <c r="E57" s="300">
        <f>C57-D57</f>
        <v>66500</v>
      </c>
    </row>
    <row r="58" spans="2:5" ht="13.5" thickBot="1">
      <c r="B58" s="349"/>
      <c r="C58" s="350">
        <f>SUM(C55:C57)</f>
        <v>86500</v>
      </c>
      <c r="D58" s="350">
        <f>SUM(D55:D57)</f>
        <v>4325</v>
      </c>
      <c r="E58" s="350">
        <f>SUM(E55:E57)</f>
        <v>82175</v>
      </c>
    </row>
    <row r="60" spans="4:5" ht="12.75">
      <c r="D60" s="53"/>
      <c r="E60" s="54"/>
    </row>
    <row r="62" spans="4:5" ht="12.75">
      <c r="D62" s="51"/>
      <c r="E62" s="54"/>
    </row>
  </sheetData>
  <sheetProtection/>
  <mergeCells count="1">
    <mergeCell ref="A1:E1"/>
  </mergeCells>
  <printOptions gridLines="1"/>
  <pageMargins left="0.27" right="0.17" top="0.31496062992125984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1"/>
  <sheetViews>
    <sheetView zoomScale="84" zoomScaleNormal="84" zoomScalePageLayoutView="0" workbookViewId="0" topLeftCell="A330">
      <selection activeCell="F342" sqref="F342"/>
    </sheetView>
  </sheetViews>
  <sheetFormatPr defaultColWidth="9.140625" defaultRowHeight="37.5" customHeight="1"/>
  <cols>
    <col min="1" max="1" width="4.140625" style="91" bestFit="1" customWidth="1"/>
    <col min="2" max="2" width="16.28125" style="51" bestFit="1" customWidth="1"/>
    <col min="3" max="3" width="55.421875" style="79" customWidth="1"/>
    <col min="4" max="4" width="23.00390625" style="51" customWidth="1"/>
    <col min="5" max="5" width="15.00390625" style="51" customWidth="1"/>
    <col min="6" max="6" width="12.421875" style="51" customWidth="1"/>
    <col min="7" max="7" width="53.140625" style="51" bestFit="1" customWidth="1"/>
    <col min="8" max="8" width="3.57421875" style="51" bestFit="1" customWidth="1"/>
    <col min="9" max="9" width="30.8515625" style="51" bestFit="1" customWidth="1"/>
    <col min="10" max="10" width="23.7109375" style="55" customWidth="1"/>
    <col min="11" max="11" width="13.8515625" style="55" bestFit="1" customWidth="1"/>
    <col min="12" max="12" width="11.8515625" style="229" bestFit="1" customWidth="1"/>
    <col min="13" max="13" width="15.28125" style="51" customWidth="1"/>
    <col min="14" max="14" width="9.140625" style="51" customWidth="1"/>
    <col min="15" max="15" width="9.140625" style="188" customWidth="1"/>
    <col min="16" max="16" width="5.57421875" style="188" customWidth="1"/>
    <col min="17" max="17" width="9.140625" style="188" hidden="1" customWidth="1"/>
    <col min="18" max="18" width="32.7109375" style="188" customWidth="1"/>
    <col min="19" max="19" width="11.421875" style="188" customWidth="1"/>
    <col min="20" max="20" width="9.140625" style="188" customWidth="1"/>
    <col min="21" max="21" width="12.8515625" style="188" bestFit="1" customWidth="1"/>
    <col min="22" max="24" width="9.140625" style="188" customWidth="1"/>
    <col min="25" max="16384" width="9.140625" style="51" customWidth="1"/>
  </cols>
  <sheetData>
    <row r="1" spans="1:9" ht="37.5" customHeight="1">
      <c r="A1" s="679" t="s">
        <v>285</v>
      </c>
      <c r="B1" s="679"/>
      <c r="C1" s="679"/>
      <c r="D1" s="679"/>
      <c r="E1" s="679"/>
      <c r="F1" s="679"/>
      <c r="G1" s="679"/>
      <c r="H1" s="679"/>
      <c r="I1" s="679"/>
    </row>
    <row r="2" spans="1:12" ht="37.5" customHeight="1" thickBot="1">
      <c r="A2" s="380"/>
      <c r="B2" s="227"/>
      <c r="C2" s="146"/>
      <c r="D2" s="142"/>
      <c r="E2" s="142"/>
      <c r="F2" s="142"/>
      <c r="G2" s="142"/>
      <c r="H2" s="142"/>
      <c r="I2" s="156"/>
      <c r="J2" s="236"/>
      <c r="K2" s="231"/>
      <c r="L2" s="230"/>
    </row>
    <row r="3" spans="1:12" ht="37.5" customHeight="1" thickBot="1" thickTop="1">
      <c r="A3" s="381" t="s">
        <v>280</v>
      </c>
      <c r="B3" s="379" t="s">
        <v>286</v>
      </c>
      <c r="C3" s="157" t="s">
        <v>287</v>
      </c>
      <c r="D3" s="157" t="s">
        <v>210</v>
      </c>
      <c r="E3" s="157" t="s">
        <v>211</v>
      </c>
      <c r="F3" s="157" t="s">
        <v>212</v>
      </c>
      <c r="G3" s="157" t="s">
        <v>213</v>
      </c>
      <c r="H3" s="157" t="s">
        <v>288</v>
      </c>
      <c r="I3" s="313" t="s">
        <v>289</v>
      </c>
      <c r="J3" s="287" t="s">
        <v>336</v>
      </c>
      <c r="K3" s="238" t="s">
        <v>338</v>
      </c>
      <c r="L3" s="239" t="s">
        <v>337</v>
      </c>
    </row>
    <row r="4" spans="1:12" ht="37.5" customHeight="1" thickTop="1">
      <c r="A4" s="382">
        <v>1</v>
      </c>
      <c r="B4" s="376">
        <v>41641</v>
      </c>
      <c r="C4" s="353" t="s">
        <v>428</v>
      </c>
      <c r="D4" s="354" t="s">
        <v>293</v>
      </c>
      <c r="E4" s="369">
        <v>5.85</v>
      </c>
      <c r="F4" s="355" t="s">
        <v>1070</v>
      </c>
      <c r="G4" s="356" t="s">
        <v>243</v>
      </c>
      <c r="H4" s="357" t="s">
        <v>294</v>
      </c>
      <c r="I4" s="358" t="s">
        <v>366</v>
      </c>
      <c r="J4" s="365"/>
      <c r="K4" s="366"/>
      <c r="L4" s="240"/>
    </row>
    <row r="5" spans="1:12" ht="37.5" customHeight="1">
      <c r="A5" s="382">
        <v>2</v>
      </c>
      <c r="B5" s="377">
        <v>41641</v>
      </c>
      <c r="C5" s="152" t="s">
        <v>387</v>
      </c>
      <c r="D5" s="340" t="s">
        <v>293</v>
      </c>
      <c r="E5" s="370">
        <v>25.21</v>
      </c>
      <c r="F5" s="158" t="s">
        <v>141</v>
      </c>
      <c r="G5" s="159" t="s">
        <v>142</v>
      </c>
      <c r="H5" s="154" t="s">
        <v>294</v>
      </c>
      <c r="I5" s="359" t="s">
        <v>366</v>
      </c>
      <c r="J5" s="365"/>
      <c r="K5" s="366"/>
      <c r="L5" s="240"/>
    </row>
    <row r="6" spans="1:12" ht="37.5" customHeight="1">
      <c r="A6" s="382">
        <v>3</v>
      </c>
      <c r="B6" s="574">
        <v>41641</v>
      </c>
      <c r="C6" s="575" t="s">
        <v>752</v>
      </c>
      <c r="D6" s="576" t="s">
        <v>293</v>
      </c>
      <c r="E6" s="577">
        <v>6</v>
      </c>
      <c r="F6" s="578" t="s">
        <v>1070</v>
      </c>
      <c r="G6" s="576" t="s">
        <v>243</v>
      </c>
      <c r="H6" s="562" t="s">
        <v>294</v>
      </c>
      <c r="I6" s="582" t="s">
        <v>751</v>
      </c>
      <c r="J6" s="570"/>
      <c r="K6" s="571"/>
      <c r="L6" s="572"/>
    </row>
    <row r="7" spans="1:12" ht="37.5" customHeight="1">
      <c r="A7" s="382">
        <v>4</v>
      </c>
      <c r="B7" s="574">
        <v>41641</v>
      </c>
      <c r="C7" s="575" t="s">
        <v>387</v>
      </c>
      <c r="D7" s="576" t="s">
        <v>293</v>
      </c>
      <c r="E7" s="577">
        <v>25.21</v>
      </c>
      <c r="F7" s="578" t="s">
        <v>141</v>
      </c>
      <c r="G7" s="576" t="s">
        <v>142</v>
      </c>
      <c r="H7" s="562" t="s">
        <v>294</v>
      </c>
      <c r="I7" s="582" t="s">
        <v>751</v>
      </c>
      <c r="J7" s="570"/>
      <c r="K7" s="571"/>
      <c r="L7" s="572"/>
    </row>
    <row r="8" spans="1:12" ht="37.5" customHeight="1">
      <c r="A8" s="382">
        <v>5</v>
      </c>
      <c r="B8" s="377">
        <v>41647</v>
      </c>
      <c r="C8" s="152" t="s">
        <v>429</v>
      </c>
      <c r="D8" s="340" t="s">
        <v>368</v>
      </c>
      <c r="E8" s="370">
        <v>2521.61</v>
      </c>
      <c r="F8" s="158" t="s">
        <v>207</v>
      </c>
      <c r="G8" s="340" t="s">
        <v>208</v>
      </c>
      <c r="H8" s="154" t="s">
        <v>294</v>
      </c>
      <c r="I8" s="359" t="s">
        <v>358</v>
      </c>
      <c r="J8" s="365"/>
      <c r="K8" s="366"/>
      <c r="L8" s="240"/>
    </row>
    <row r="9" spans="1:12" ht="37.5" customHeight="1">
      <c r="A9" s="382">
        <v>6</v>
      </c>
      <c r="B9" s="377">
        <v>41647</v>
      </c>
      <c r="C9" s="152" t="s">
        <v>595</v>
      </c>
      <c r="D9" s="154" t="s">
        <v>333</v>
      </c>
      <c r="E9" s="370">
        <v>1010.16</v>
      </c>
      <c r="F9" s="154"/>
      <c r="G9" s="340" t="s">
        <v>430</v>
      </c>
      <c r="H9" s="154" t="s">
        <v>294</v>
      </c>
      <c r="I9" s="359" t="s">
        <v>431</v>
      </c>
      <c r="J9" s="365">
        <f>'GIORNALE DELLE ENTRATE'!E10+'GIORNALE DELLE ENTRATE'!E11+'GIORNALE DELLE ENTRATE'!E12+'GIORNALE DELLE ENTRATE'!E13</f>
        <v>310.77</v>
      </c>
      <c r="K9" s="366">
        <f>E9+E10-J9</f>
        <v>700</v>
      </c>
      <c r="L9" s="240"/>
    </row>
    <row r="10" spans="1:12" ht="37.5" customHeight="1">
      <c r="A10" s="382">
        <v>7</v>
      </c>
      <c r="B10" s="377">
        <v>41647</v>
      </c>
      <c r="C10" s="244" t="s">
        <v>596</v>
      </c>
      <c r="D10" s="228" t="s">
        <v>333</v>
      </c>
      <c r="E10" s="370">
        <v>0.61</v>
      </c>
      <c r="F10" s="154"/>
      <c r="G10" s="340" t="s">
        <v>430</v>
      </c>
      <c r="H10" s="154" t="s">
        <v>294</v>
      </c>
      <c r="I10" s="359" t="s">
        <v>431</v>
      </c>
      <c r="J10" s="365"/>
      <c r="K10" s="366"/>
      <c r="L10" s="240"/>
    </row>
    <row r="11" spans="1:12" s="188" customFormat="1" ht="37.5" customHeight="1">
      <c r="A11" s="382">
        <v>8</v>
      </c>
      <c r="B11" s="377">
        <v>41647</v>
      </c>
      <c r="C11" s="152" t="s">
        <v>597</v>
      </c>
      <c r="D11" s="154" t="s">
        <v>284</v>
      </c>
      <c r="E11" s="370">
        <v>186.64</v>
      </c>
      <c r="F11" s="154"/>
      <c r="G11" s="340" t="s">
        <v>430</v>
      </c>
      <c r="H11" s="154" t="s">
        <v>294</v>
      </c>
      <c r="I11" s="359" t="s">
        <v>431</v>
      </c>
      <c r="J11" s="365"/>
      <c r="K11" s="366"/>
      <c r="L11" s="240"/>
    </row>
    <row r="12" spans="1:12" s="188" customFormat="1" ht="37.5" customHeight="1">
      <c r="A12" s="382">
        <v>9</v>
      </c>
      <c r="B12" s="377">
        <v>41647</v>
      </c>
      <c r="C12" s="152" t="s">
        <v>598</v>
      </c>
      <c r="D12" s="154" t="s">
        <v>284</v>
      </c>
      <c r="E12" s="370">
        <v>16.26</v>
      </c>
      <c r="F12" s="154"/>
      <c r="G12" s="340" t="s">
        <v>430</v>
      </c>
      <c r="H12" s="154" t="s">
        <v>294</v>
      </c>
      <c r="I12" s="359" t="s">
        <v>431</v>
      </c>
      <c r="J12" s="365"/>
      <c r="K12" s="366"/>
      <c r="L12" s="240"/>
    </row>
    <row r="13" spans="1:12" ht="37.5" customHeight="1">
      <c r="A13" s="382">
        <v>10</v>
      </c>
      <c r="B13" s="377">
        <v>41647</v>
      </c>
      <c r="C13" s="152" t="s">
        <v>595</v>
      </c>
      <c r="D13" s="154" t="s">
        <v>599</v>
      </c>
      <c r="E13" s="370">
        <v>453.57</v>
      </c>
      <c r="F13" s="154"/>
      <c r="G13" s="340" t="s">
        <v>430</v>
      </c>
      <c r="H13" s="154" t="s">
        <v>294</v>
      </c>
      <c r="I13" s="359" t="s">
        <v>432</v>
      </c>
      <c r="J13" s="365" t="e">
        <f>'GIORNALE DELLE ENTRATE'!#REF!+'GIORNALE DELLE ENTRATE'!#REF!+'GIORNALE DELLE ENTRATE'!E16+'GIORNALE DELLE ENTRATE'!E17</f>
        <v>#REF!</v>
      </c>
      <c r="K13" s="366" t="e">
        <f>E13+E14-J13</f>
        <v>#REF!</v>
      </c>
      <c r="L13" s="240"/>
    </row>
    <row r="14" spans="1:12" ht="37.5" customHeight="1">
      <c r="A14" s="382">
        <v>11</v>
      </c>
      <c r="B14" s="377">
        <v>41647</v>
      </c>
      <c r="C14" s="152" t="s">
        <v>596</v>
      </c>
      <c r="D14" s="154" t="s">
        <v>599</v>
      </c>
      <c r="E14" s="370">
        <v>0.76</v>
      </c>
      <c r="F14" s="154"/>
      <c r="G14" s="340" t="s">
        <v>430</v>
      </c>
      <c r="H14" s="154" t="s">
        <v>294</v>
      </c>
      <c r="I14" s="359" t="s">
        <v>432</v>
      </c>
      <c r="J14" s="365"/>
      <c r="K14" s="366"/>
      <c r="L14" s="240"/>
    </row>
    <row r="15" spans="1:12" s="188" customFormat="1" ht="37.5" customHeight="1">
      <c r="A15" s="382">
        <v>12</v>
      </c>
      <c r="B15" s="377">
        <v>41647</v>
      </c>
      <c r="C15" s="152" t="s">
        <v>600</v>
      </c>
      <c r="D15" s="340" t="s">
        <v>284</v>
      </c>
      <c r="E15" s="370">
        <v>83.9</v>
      </c>
      <c r="F15" s="154"/>
      <c r="G15" s="340" t="s">
        <v>430</v>
      </c>
      <c r="H15" s="154" t="s">
        <v>294</v>
      </c>
      <c r="I15" s="359" t="s">
        <v>432</v>
      </c>
      <c r="J15" s="365"/>
      <c r="K15" s="366"/>
      <c r="L15" s="240"/>
    </row>
    <row r="16" spans="1:12" s="188" customFormat="1" ht="37.5" customHeight="1">
      <c r="A16" s="382">
        <v>13</v>
      </c>
      <c r="B16" s="377">
        <v>41647</v>
      </c>
      <c r="C16" s="152" t="s">
        <v>601</v>
      </c>
      <c r="D16" s="340" t="s">
        <v>284</v>
      </c>
      <c r="E16" s="370">
        <v>24.76</v>
      </c>
      <c r="F16" s="154"/>
      <c r="G16" s="340" t="s">
        <v>430</v>
      </c>
      <c r="H16" s="154" t="s">
        <v>294</v>
      </c>
      <c r="I16" s="359" t="s">
        <v>432</v>
      </c>
      <c r="J16" s="365"/>
      <c r="K16" s="366"/>
      <c r="L16" s="240"/>
    </row>
    <row r="17" spans="1:12" s="188" customFormat="1" ht="37.5" customHeight="1">
      <c r="A17" s="382">
        <v>14</v>
      </c>
      <c r="B17" s="377">
        <v>41647</v>
      </c>
      <c r="C17" s="152" t="s">
        <v>433</v>
      </c>
      <c r="D17" s="340" t="s">
        <v>374</v>
      </c>
      <c r="E17" s="370">
        <v>1251.02</v>
      </c>
      <c r="F17" s="154"/>
      <c r="G17" s="340" t="s">
        <v>430</v>
      </c>
      <c r="H17" s="154" t="s">
        <v>294</v>
      </c>
      <c r="I17" s="359" t="s">
        <v>434</v>
      </c>
      <c r="J17" s="365">
        <f>'GIORNALE DELLE ENTRATE'!E4+'GIORNALE DELLE ENTRATE'!E5+'GIORNALE DELLE ENTRATE'!E6+'GIORNALE DELLE ENTRATE'!E7</f>
        <v>861.0200000000001</v>
      </c>
      <c r="K17" s="366">
        <f>E17-J17</f>
        <v>389.9999999999999</v>
      </c>
      <c r="L17" s="240"/>
    </row>
    <row r="18" spans="1:12" ht="37.5" customHeight="1">
      <c r="A18" s="382">
        <v>15</v>
      </c>
      <c r="B18" s="378">
        <v>41647</v>
      </c>
      <c r="C18" s="337" t="s">
        <v>579</v>
      </c>
      <c r="D18" s="305" t="s">
        <v>284</v>
      </c>
      <c r="E18" s="371">
        <v>231.18</v>
      </c>
      <c r="F18" s="306"/>
      <c r="G18" s="340" t="s">
        <v>430</v>
      </c>
      <c r="H18" s="154" t="s">
        <v>294</v>
      </c>
      <c r="I18" s="359" t="s">
        <v>434</v>
      </c>
      <c r="J18" s="365"/>
      <c r="K18" s="366"/>
      <c r="L18" s="240"/>
    </row>
    <row r="19" spans="1:12" ht="37.5" customHeight="1">
      <c r="A19" s="382">
        <v>16</v>
      </c>
      <c r="B19" s="378">
        <v>41647</v>
      </c>
      <c r="C19" s="337" t="s">
        <v>580</v>
      </c>
      <c r="D19" s="305" t="s">
        <v>284</v>
      </c>
      <c r="E19" s="371">
        <v>3.9</v>
      </c>
      <c r="F19" s="306"/>
      <c r="G19" s="340" t="s">
        <v>430</v>
      </c>
      <c r="H19" s="154" t="s">
        <v>294</v>
      </c>
      <c r="I19" s="359" t="s">
        <v>434</v>
      </c>
      <c r="J19" s="365"/>
      <c r="K19" s="366"/>
      <c r="L19" s="240"/>
    </row>
    <row r="20" spans="1:12" ht="37.5" customHeight="1">
      <c r="A20" s="382">
        <v>17</v>
      </c>
      <c r="B20" s="377">
        <v>41652</v>
      </c>
      <c r="C20" s="152" t="s">
        <v>435</v>
      </c>
      <c r="D20" s="340" t="s">
        <v>367</v>
      </c>
      <c r="E20" s="370">
        <v>2928</v>
      </c>
      <c r="F20" s="158" t="s">
        <v>207</v>
      </c>
      <c r="G20" s="340" t="s">
        <v>208</v>
      </c>
      <c r="H20" s="154" t="s">
        <v>294</v>
      </c>
      <c r="I20" s="359" t="s">
        <v>360</v>
      </c>
      <c r="J20" s="365"/>
      <c r="K20" s="366"/>
      <c r="L20" s="240"/>
    </row>
    <row r="21" spans="1:12" ht="37.5" customHeight="1">
      <c r="A21" s="382">
        <v>18</v>
      </c>
      <c r="B21" s="377">
        <v>41652</v>
      </c>
      <c r="C21" s="152" t="s">
        <v>436</v>
      </c>
      <c r="D21" s="340" t="s">
        <v>340</v>
      </c>
      <c r="E21" s="370">
        <v>3660</v>
      </c>
      <c r="F21" s="158" t="s">
        <v>207</v>
      </c>
      <c r="G21" s="340" t="s">
        <v>208</v>
      </c>
      <c r="H21" s="154" t="s">
        <v>294</v>
      </c>
      <c r="I21" s="359" t="s">
        <v>358</v>
      </c>
      <c r="J21" s="365"/>
      <c r="K21" s="366"/>
      <c r="L21" s="240"/>
    </row>
    <row r="22" spans="1:12" s="188" customFormat="1" ht="37.5" customHeight="1">
      <c r="A22" s="382">
        <v>19</v>
      </c>
      <c r="B22" s="377">
        <v>41652</v>
      </c>
      <c r="C22" s="152" t="s">
        <v>437</v>
      </c>
      <c r="D22" s="340" t="s">
        <v>367</v>
      </c>
      <c r="E22" s="370">
        <v>522.28</v>
      </c>
      <c r="F22" s="158" t="s">
        <v>207</v>
      </c>
      <c r="G22" s="340" t="s">
        <v>208</v>
      </c>
      <c r="H22" s="154" t="s">
        <v>294</v>
      </c>
      <c r="I22" s="359" t="s">
        <v>359</v>
      </c>
      <c r="J22" s="365"/>
      <c r="K22" s="366"/>
      <c r="L22" s="240"/>
    </row>
    <row r="23" spans="1:12" s="188" customFormat="1" ht="37.5" customHeight="1">
      <c r="A23" s="382">
        <v>20</v>
      </c>
      <c r="B23" s="377">
        <v>41654</v>
      </c>
      <c r="C23" s="152" t="s">
        <v>438</v>
      </c>
      <c r="D23" s="340" t="s">
        <v>371</v>
      </c>
      <c r="E23" s="370">
        <v>872.07</v>
      </c>
      <c r="F23" s="158" t="s">
        <v>207</v>
      </c>
      <c r="G23" s="340" t="s">
        <v>208</v>
      </c>
      <c r="H23" s="154" t="s">
        <v>294</v>
      </c>
      <c r="I23" s="359" t="s">
        <v>357</v>
      </c>
      <c r="J23" s="365"/>
      <c r="K23" s="366"/>
      <c r="L23" s="240"/>
    </row>
    <row r="24" spans="1:12" s="188" customFormat="1" ht="37.5" customHeight="1">
      <c r="A24" s="382">
        <v>21</v>
      </c>
      <c r="B24" s="377">
        <v>41654</v>
      </c>
      <c r="C24" s="152" t="s">
        <v>439</v>
      </c>
      <c r="D24" s="340" t="s">
        <v>440</v>
      </c>
      <c r="E24" s="370">
        <v>3933.28</v>
      </c>
      <c r="F24" s="154" t="s">
        <v>52</v>
      </c>
      <c r="G24" s="154" t="s">
        <v>126</v>
      </c>
      <c r="H24" s="154" t="s">
        <v>295</v>
      </c>
      <c r="I24" s="359" t="s">
        <v>366</v>
      </c>
      <c r="J24" s="365">
        <f>'GIORNALE DELLE ENTRATE'!$E$20</f>
        <v>620</v>
      </c>
      <c r="K24" s="366">
        <f>E24-J24</f>
        <v>3313.28</v>
      </c>
      <c r="L24" s="240"/>
    </row>
    <row r="25" spans="1:12" s="188" customFormat="1" ht="37.5" customHeight="1">
      <c r="A25" s="382">
        <v>22</v>
      </c>
      <c r="B25" s="378">
        <v>41655</v>
      </c>
      <c r="C25" s="152" t="s">
        <v>619</v>
      </c>
      <c r="D25" s="154" t="s">
        <v>296</v>
      </c>
      <c r="E25" s="370">
        <v>449.44</v>
      </c>
      <c r="F25" s="154" t="s">
        <v>79</v>
      </c>
      <c r="G25" s="154" t="s">
        <v>0</v>
      </c>
      <c r="H25" s="154" t="s">
        <v>294</v>
      </c>
      <c r="I25" s="195" t="s">
        <v>336</v>
      </c>
      <c r="J25" s="365"/>
      <c r="K25" s="366"/>
      <c r="L25" s="240"/>
    </row>
    <row r="26" spans="1:12" s="188" customFormat="1" ht="37.5" customHeight="1">
      <c r="A26" s="382">
        <v>23</v>
      </c>
      <c r="B26" s="378">
        <v>41655</v>
      </c>
      <c r="C26" s="152" t="s">
        <v>620</v>
      </c>
      <c r="D26" s="154" t="s">
        <v>300</v>
      </c>
      <c r="E26" s="370">
        <v>753</v>
      </c>
      <c r="F26" s="158" t="s">
        <v>170</v>
      </c>
      <c r="G26" s="159" t="s">
        <v>44</v>
      </c>
      <c r="H26" s="154" t="s">
        <v>294</v>
      </c>
      <c r="I26" s="195" t="s">
        <v>336</v>
      </c>
      <c r="J26" s="365"/>
      <c r="K26" s="366"/>
      <c r="L26" s="240"/>
    </row>
    <row r="27" spans="1:12" ht="37.5" customHeight="1">
      <c r="A27" s="382">
        <v>24</v>
      </c>
      <c r="B27" s="378">
        <v>41655</v>
      </c>
      <c r="C27" s="152" t="s">
        <v>621</v>
      </c>
      <c r="D27" s="154" t="s">
        <v>617</v>
      </c>
      <c r="E27" s="370">
        <v>337.12</v>
      </c>
      <c r="F27" s="154" t="s">
        <v>79</v>
      </c>
      <c r="G27" s="154" t="s">
        <v>0</v>
      </c>
      <c r="H27" s="154" t="s">
        <v>294</v>
      </c>
      <c r="I27" s="195" t="s">
        <v>336</v>
      </c>
      <c r="J27" s="365"/>
      <c r="K27" s="366"/>
      <c r="L27" s="240"/>
    </row>
    <row r="28" spans="1:12" s="188" customFormat="1" ht="37.5" customHeight="1">
      <c r="A28" s="382">
        <v>25</v>
      </c>
      <c r="B28" s="378">
        <v>41655</v>
      </c>
      <c r="C28" s="152" t="s">
        <v>622</v>
      </c>
      <c r="D28" s="154" t="s">
        <v>618</v>
      </c>
      <c r="E28" s="370">
        <v>165.46</v>
      </c>
      <c r="F28" s="154" t="s">
        <v>79</v>
      </c>
      <c r="G28" s="154" t="s">
        <v>0</v>
      </c>
      <c r="H28" s="154" t="s">
        <v>294</v>
      </c>
      <c r="I28" s="195" t="s">
        <v>336</v>
      </c>
      <c r="J28" s="365"/>
      <c r="K28" s="366"/>
      <c r="L28" s="240"/>
    </row>
    <row r="29" spans="1:12" s="188" customFormat="1" ht="37.5" customHeight="1" thickBot="1">
      <c r="A29" s="382">
        <v>26</v>
      </c>
      <c r="B29" s="574">
        <v>41659</v>
      </c>
      <c r="C29" s="575" t="s">
        <v>835</v>
      </c>
      <c r="D29" s="576" t="s">
        <v>834</v>
      </c>
      <c r="E29" s="577">
        <v>1750</v>
      </c>
      <c r="F29" s="578" t="s">
        <v>262</v>
      </c>
      <c r="G29" s="576" t="s">
        <v>263</v>
      </c>
      <c r="H29" s="562" t="s">
        <v>294</v>
      </c>
      <c r="I29" s="582" t="s">
        <v>751</v>
      </c>
      <c r="J29" s="570"/>
      <c r="K29" s="571"/>
      <c r="L29" s="572"/>
    </row>
    <row r="30" spans="1:12" s="188" customFormat="1" ht="37.5" customHeight="1" thickTop="1">
      <c r="A30" s="382">
        <v>27</v>
      </c>
      <c r="B30" s="377">
        <v>41673</v>
      </c>
      <c r="C30" s="152" t="s">
        <v>442</v>
      </c>
      <c r="D30" s="340" t="s">
        <v>293</v>
      </c>
      <c r="E30" s="370">
        <v>5.85</v>
      </c>
      <c r="F30" s="355" t="s">
        <v>1070</v>
      </c>
      <c r="G30" s="356" t="s">
        <v>243</v>
      </c>
      <c r="H30" s="154" t="s">
        <v>294</v>
      </c>
      <c r="I30" s="359" t="s">
        <v>366</v>
      </c>
      <c r="J30" s="365"/>
      <c r="K30" s="366"/>
      <c r="L30" s="240"/>
    </row>
    <row r="31" spans="1:12" ht="37.5" customHeight="1">
      <c r="A31" s="382">
        <v>28</v>
      </c>
      <c r="B31" s="377">
        <v>41673</v>
      </c>
      <c r="C31" s="152" t="s">
        <v>602</v>
      </c>
      <c r="D31" s="154" t="s">
        <v>364</v>
      </c>
      <c r="E31" s="370">
        <v>661.88</v>
      </c>
      <c r="F31" s="154"/>
      <c r="G31" s="340" t="s">
        <v>430</v>
      </c>
      <c r="H31" s="154" t="s">
        <v>294</v>
      </c>
      <c r="I31" s="359" t="s">
        <v>445</v>
      </c>
      <c r="J31" s="365">
        <f>'GIORNALE DELLE ENTRATE'!E22+'GIORNALE DELLE ENTRATE'!E23+'GIORNALE DELLE ENTRATE'!E24</f>
        <v>202.59</v>
      </c>
      <c r="K31" s="366">
        <f>E31+E32-J31</f>
        <v>460</v>
      </c>
      <c r="L31" s="240"/>
    </row>
    <row r="32" spans="1:12" ht="37.5" customHeight="1">
      <c r="A32" s="382">
        <v>29</v>
      </c>
      <c r="B32" s="377">
        <v>41673</v>
      </c>
      <c r="C32" s="152" t="s">
        <v>602</v>
      </c>
      <c r="D32" s="154" t="s">
        <v>364</v>
      </c>
      <c r="E32" s="370">
        <f>0.96-0.25</f>
        <v>0.71</v>
      </c>
      <c r="F32" s="154"/>
      <c r="G32" s="340" t="s">
        <v>430</v>
      </c>
      <c r="H32" s="154" t="s">
        <v>294</v>
      </c>
      <c r="I32" s="359" t="s">
        <v>445</v>
      </c>
      <c r="J32" s="365"/>
      <c r="K32" s="366"/>
      <c r="L32" s="240"/>
    </row>
    <row r="33" spans="1:12" ht="37.5" customHeight="1">
      <c r="A33" s="382">
        <v>30</v>
      </c>
      <c r="B33" s="377">
        <v>41673</v>
      </c>
      <c r="C33" s="152" t="s">
        <v>603</v>
      </c>
      <c r="D33" s="308" t="s">
        <v>284</v>
      </c>
      <c r="E33" s="370">
        <v>126.7</v>
      </c>
      <c r="F33" s="154"/>
      <c r="G33" s="340" t="s">
        <v>430</v>
      </c>
      <c r="H33" s="154" t="s">
        <v>294</v>
      </c>
      <c r="I33" s="359" t="s">
        <v>445</v>
      </c>
      <c r="J33" s="365"/>
      <c r="K33" s="366"/>
      <c r="L33" s="240"/>
    </row>
    <row r="34" spans="1:12" ht="37.5" customHeight="1">
      <c r="A34" s="382">
        <v>31</v>
      </c>
      <c r="B34" s="377">
        <v>41673</v>
      </c>
      <c r="C34" s="337" t="s">
        <v>604</v>
      </c>
      <c r="D34" s="305" t="s">
        <v>284</v>
      </c>
      <c r="E34" s="370">
        <v>4.12</v>
      </c>
      <c r="F34" s="154"/>
      <c r="G34" s="340" t="s">
        <v>430</v>
      </c>
      <c r="H34" s="154" t="s">
        <v>294</v>
      </c>
      <c r="I34" s="359" t="s">
        <v>445</v>
      </c>
      <c r="J34" s="365"/>
      <c r="K34" s="366"/>
      <c r="L34" s="240"/>
    </row>
    <row r="35" spans="1:12" s="188" customFormat="1" ht="37.5" customHeight="1">
      <c r="A35" s="382">
        <v>32</v>
      </c>
      <c r="B35" s="377">
        <v>41673</v>
      </c>
      <c r="C35" s="152" t="s">
        <v>443</v>
      </c>
      <c r="D35" s="340" t="s">
        <v>369</v>
      </c>
      <c r="E35" s="370">
        <v>36.6</v>
      </c>
      <c r="F35" s="158" t="s">
        <v>57</v>
      </c>
      <c r="G35" s="159" t="s">
        <v>69</v>
      </c>
      <c r="H35" s="154" t="s">
        <v>294</v>
      </c>
      <c r="I35" s="359" t="s">
        <v>366</v>
      </c>
      <c r="J35" s="365"/>
      <c r="K35" s="366"/>
      <c r="L35" s="240"/>
    </row>
    <row r="36" spans="1:12" s="188" customFormat="1" ht="37.5" customHeight="1">
      <c r="A36" s="382">
        <v>33</v>
      </c>
      <c r="B36" s="377">
        <v>41673</v>
      </c>
      <c r="C36" s="152" t="s">
        <v>444</v>
      </c>
      <c r="D36" s="340" t="s">
        <v>323</v>
      </c>
      <c r="E36" s="370">
        <v>2500</v>
      </c>
      <c r="F36" s="158" t="s">
        <v>54</v>
      </c>
      <c r="G36" s="159" t="s">
        <v>275</v>
      </c>
      <c r="H36" s="154" t="s">
        <v>294</v>
      </c>
      <c r="I36" s="359" t="s">
        <v>366</v>
      </c>
      <c r="J36" s="365"/>
      <c r="K36" s="366"/>
      <c r="L36" s="240"/>
    </row>
    <row r="37" spans="1:12" s="188" customFormat="1" ht="37.5" customHeight="1">
      <c r="A37" s="382">
        <v>34</v>
      </c>
      <c r="B37" s="377">
        <v>41673</v>
      </c>
      <c r="C37" s="152" t="s">
        <v>446</v>
      </c>
      <c r="D37" s="154" t="s">
        <v>388</v>
      </c>
      <c r="E37" s="370">
        <v>12977</v>
      </c>
      <c r="F37" s="158" t="s">
        <v>147</v>
      </c>
      <c r="G37" s="340" t="s">
        <v>188</v>
      </c>
      <c r="H37" s="154" t="s">
        <v>294</v>
      </c>
      <c r="I37" s="195"/>
      <c r="J37" s="365"/>
      <c r="K37" s="366"/>
      <c r="L37" s="240"/>
    </row>
    <row r="38" spans="1:12" s="188" customFormat="1" ht="37.5" customHeight="1">
      <c r="A38" s="382">
        <v>35</v>
      </c>
      <c r="B38" s="377">
        <v>41673</v>
      </c>
      <c r="C38" s="152" t="s">
        <v>447</v>
      </c>
      <c r="D38" s="340" t="s">
        <v>448</v>
      </c>
      <c r="E38" s="370">
        <v>3172</v>
      </c>
      <c r="F38" s="154" t="s">
        <v>49</v>
      </c>
      <c r="G38" s="154" t="s">
        <v>124</v>
      </c>
      <c r="H38" s="154" t="s">
        <v>295</v>
      </c>
      <c r="I38" s="359" t="s">
        <v>366</v>
      </c>
      <c r="J38" s="365">
        <v>500</v>
      </c>
      <c r="K38" s="366">
        <f>E38-J38</f>
        <v>2672</v>
      </c>
      <c r="L38" s="240"/>
    </row>
    <row r="39" spans="1:12" s="188" customFormat="1" ht="37.5" customHeight="1">
      <c r="A39" s="382">
        <v>36</v>
      </c>
      <c r="B39" s="574">
        <v>41673</v>
      </c>
      <c r="C39" s="575" t="s">
        <v>753</v>
      </c>
      <c r="D39" s="576" t="s">
        <v>293</v>
      </c>
      <c r="E39" s="577">
        <v>6</v>
      </c>
      <c r="F39" s="578" t="s">
        <v>1070</v>
      </c>
      <c r="G39" s="576" t="s">
        <v>243</v>
      </c>
      <c r="H39" s="562" t="s">
        <v>294</v>
      </c>
      <c r="I39" s="582" t="s">
        <v>751</v>
      </c>
      <c r="J39" s="570"/>
      <c r="K39" s="571"/>
      <c r="L39" s="572"/>
    </row>
    <row r="40" spans="1:12" s="188" customFormat="1" ht="37.5" customHeight="1">
      <c r="A40" s="382">
        <v>37</v>
      </c>
      <c r="B40" s="574">
        <v>41673</v>
      </c>
      <c r="C40" s="575" t="s">
        <v>837</v>
      </c>
      <c r="D40" s="576" t="s">
        <v>836</v>
      </c>
      <c r="E40" s="577">
        <v>3500</v>
      </c>
      <c r="F40" s="578" t="s">
        <v>262</v>
      </c>
      <c r="G40" s="576" t="s">
        <v>263</v>
      </c>
      <c r="H40" s="562" t="s">
        <v>294</v>
      </c>
      <c r="I40" s="582" t="s">
        <v>751</v>
      </c>
      <c r="J40" s="570"/>
      <c r="K40" s="571"/>
      <c r="L40" s="572"/>
    </row>
    <row r="41" spans="1:12" ht="37.5" customHeight="1">
      <c r="A41" s="382">
        <v>38</v>
      </c>
      <c r="B41" s="377">
        <v>41687</v>
      </c>
      <c r="C41" s="152" t="s">
        <v>449</v>
      </c>
      <c r="D41" s="340" t="s">
        <v>335</v>
      </c>
      <c r="E41" s="370">
        <v>15000</v>
      </c>
      <c r="F41" s="158" t="s">
        <v>54</v>
      </c>
      <c r="G41" s="340" t="s">
        <v>275</v>
      </c>
      <c r="H41" s="154" t="s">
        <v>294</v>
      </c>
      <c r="I41" s="359" t="s">
        <v>335</v>
      </c>
      <c r="J41" s="365"/>
      <c r="K41" s="366"/>
      <c r="L41" s="240"/>
    </row>
    <row r="42" spans="1:12" ht="37.5" customHeight="1">
      <c r="A42" s="382">
        <v>39</v>
      </c>
      <c r="B42" s="377">
        <v>41687</v>
      </c>
      <c r="C42" s="152" t="s">
        <v>623</v>
      </c>
      <c r="D42" s="340" t="s">
        <v>296</v>
      </c>
      <c r="E42" s="370">
        <v>1120</v>
      </c>
      <c r="F42" s="154" t="s">
        <v>79</v>
      </c>
      <c r="G42" s="154" t="s">
        <v>0</v>
      </c>
      <c r="H42" s="154" t="s">
        <v>295</v>
      </c>
      <c r="I42" s="359" t="s">
        <v>336</v>
      </c>
      <c r="J42" s="365"/>
      <c r="K42" s="366"/>
      <c r="L42" s="240"/>
    </row>
    <row r="43" spans="1:12" s="188" customFormat="1" ht="37.5" customHeight="1">
      <c r="A43" s="382">
        <v>40</v>
      </c>
      <c r="B43" s="377">
        <v>41687</v>
      </c>
      <c r="C43" s="152" t="s">
        <v>624</v>
      </c>
      <c r="D43" s="340" t="s">
        <v>296</v>
      </c>
      <c r="E43" s="370">
        <v>137.19</v>
      </c>
      <c r="F43" s="154" t="s">
        <v>79</v>
      </c>
      <c r="G43" s="154" t="s">
        <v>0</v>
      </c>
      <c r="H43" s="154" t="s">
        <v>294</v>
      </c>
      <c r="I43" s="359" t="s">
        <v>336</v>
      </c>
      <c r="J43" s="365"/>
      <c r="K43" s="366"/>
      <c r="L43" s="240"/>
    </row>
    <row r="44" spans="1:12" s="188" customFormat="1" ht="37.5" customHeight="1">
      <c r="A44" s="382">
        <v>41</v>
      </c>
      <c r="B44" s="377">
        <v>41687</v>
      </c>
      <c r="C44" s="152" t="s">
        <v>625</v>
      </c>
      <c r="D44" s="340" t="s">
        <v>300</v>
      </c>
      <c r="E44" s="370">
        <v>190</v>
      </c>
      <c r="F44" s="158" t="s">
        <v>170</v>
      </c>
      <c r="G44" s="159" t="s">
        <v>44</v>
      </c>
      <c r="H44" s="154" t="s">
        <v>294</v>
      </c>
      <c r="I44" s="359" t="s">
        <v>336</v>
      </c>
      <c r="J44" s="365"/>
      <c r="K44" s="366"/>
      <c r="L44" s="240"/>
    </row>
    <row r="45" spans="1:12" ht="37.5" customHeight="1">
      <c r="A45" s="382">
        <v>42</v>
      </c>
      <c r="B45" s="574">
        <v>41688</v>
      </c>
      <c r="C45" s="575" t="s">
        <v>839</v>
      </c>
      <c r="D45" s="576" t="s">
        <v>838</v>
      </c>
      <c r="E45" s="577">
        <v>950</v>
      </c>
      <c r="F45" s="578" t="s">
        <v>262</v>
      </c>
      <c r="G45" s="576" t="s">
        <v>263</v>
      </c>
      <c r="H45" s="562" t="s">
        <v>294</v>
      </c>
      <c r="I45" s="582" t="s">
        <v>751</v>
      </c>
      <c r="J45" s="570"/>
      <c r="K45" s="571"/>
      <c r="L45" s="572"/>
    </row>
    <row r="46" spans="1:12" ht="37.5" customHeight="1">
      <c r="A46" s="382">
        <v>43</v>
      </c>
      <c r="B46" s="377">
        <v>41690</v>
      </c>
      <c r="C46" s="152" t="s">
        <v>454</v>
      </c>
      <c r="D46" s="340" t="s">
        <v>373</v>
      </c>
      <c r="E46" s="370">
        <v>586.96</v>
      </c>
      <c r="F46" s="158" t="s">
        <v>207</v>
      </c>
      <c r="G46" s="340" t="s">
        <v>208</v>
      </c>
      <c r="H46" s="154" t="s">
        <v>294</v>
      </c>
      <c r="I46" s="359" t="s">
        <v>357</v>
      </c>
      <c r="J46" s="365"/>
      <c r="K46" s="366"/>
      <c r="L46" s="240"/>
    </row>
    <row r="47" spans="1:12" ht="37.5" customHeight="1">
      <c r="A47" s="382">
        <v>44</v>
      </c>
      <c r="B47" s="377">
        <v>41690</v>
      </c>
      <c r="C47" s="152" t="s">
        <v>455</v>
      </c>
      <c r="D47" s="340" t="s">
        <v>373</v>
      </c>
      <c r="E47" s="370">
        <v>473.38</v>
      </c>
      <c r="F47" s="158" t="s">
        <v>207</v>
      </c>
      <c r="G47" s="340" t="s">
        <v>208</v>
      </c>
      <c r="H47" s="154" t="s">
        <v>294</v>
      </c>
      <c r="I47" s="359" t="s">
        <v>357</v>
      </c>
      <c r="J47" s="365"/>
      <c r="K47" s="366"/>
      <c r="L47" s="240"/>
    </row>
    <row r="48" spans="1:12" s="188" customFormat="1" ht="37.5" customHeight="1">
      <c r="A48" s="382">
        <v>45</v>
      </c>
      <c r="B48" s="377">
        <v>41690</v>
      </c>
      <c r="C48" s="152" t="s">
        <v>456</v>
      </c>
      <c r="D48" s="340" t="s">
        <v>373</v>
      </c>
      <c r="E48" s="370">
        <v>227.34</v>
      </c>
      <c r="F48" s="158" t="s">
        <v>50</v>
      </c>
      <c r="G48" s="340" t="s">
        <v>125</v>
      </c>
      <c r="H48" s="154" t="s">
        <v>294</v>
      </c>
      <c r="I48" s="359" t="s">
        <v>366</v>
      </c>
      <c r="J48" s="365"/>
      <c r="K48" s="366"/>
      <c r="L48" s="240"/>
    </row>
    <row r="49" spans="1:12" s="188" customFormat="1" ht="37.5" customHeight="1">
      <c r="A49" s="382">
        <v>46</v>
      </c>
      <c r="B49" s="377">
        <v>41690</v>
      </c>
      <c r="C49" s="152" t="s">
        <v>450</v>
      </c>
      <c r="D49" s="340" t="s">
        <v>451</v>
      </c>
      <c r="E49" s="370">
        <v>1037.88</v>
      </c>
      <c r="F49" s="154"/>
      <c r="G49" s="340" t="s">
        <v>430</v>
      </c>
      <c r="H49" s="154" t="s">
        <v>294</v>
      </c>
      <c r="I49" s="359" t="s">
        <v>362</v>
      </c>
      <c r="J49" s="365">
        <f>'GIORNALE DELLE ENTRATE'!$E$28</f>
        <v>3000</v>
      </c>
      <c r="K49" s="366">
        <f>E49-J49</f>
        <v>-1962.12</v>
      </c>
      <c r="L49" s="240"/>
    </row>
    <row r="50" spans="1:12" s="188" customFormat="1" ht="37.5" customHeight="1">
      <c r="A50" s="382">
        <v>47</v>
      </c>
      <c r="B50" s="377">
        <v>41690</v>
      </c>
      <c r="C50" s="152" t="s">
        <v>452</v>
      </c>
      <c r="D50" s="340" t="s">
        <v>453</v>
      </c>
      <c r="E50" s="370">
        <v>2500</v>
      </c>
      <c r="F50" s="154" t="s">
        <v>52</v>
      </c>
      <c r="G50" s="154" t="s">
        <v>126</v>
      </c>
      <c r="H50" s="154" t="s">
        <v>295</v>
      </c>
      <c r="I50" s="359" t="s">
        <v>366</v>
      </c>
      <c r="J50" s="365">
        <f>'GIORNALE DELLE ENTRATE'!$E$29</f>
        <v>500</v>
      </c>
      <c r="K50" s="366">
        <f>E50-J50</f>
        <v>2000</v>
      </c>
      <c r="L50" s="240"/>
    </row>
    <row r="51" spans="1:12" s="188" customFormat="1" ht="37.5" customHeight="1">
      <c r="A51" s="382">
        <v>48</v>
      </c>
      <c r="B51" s="377">
        <v>41691</v>
      </c>
      <c r="C51" s="152" t="s">
        <v>457</v>
      </c>
      <c r="D51" s="340" t="s">
        <v>373</v>
      </c>
      <c r="E51" s="370">
        <v>57.96</v>
      </c>
      <c r="F51" s="158" t="s">
        <v>207</v>
      </c>
      <c r="G51" s="340" t="s">
        <v>208</v>
      </c>
      <c r="H51" s="154" t="s">
        <v>294</v>
      </c>
      <c r="I51" s="359" t="s">
        <v>360</v>
      </c>
      <c r="J51" s="365"/>
      <c r="K51" s="366"/>
      <c r="L51" s="240"/>
    </row>
    <row r="52" spans="1:12" s="188" customFormat="1" ht="37.5" customHeight="1" thickBot="1">
      <c r="A52" s="382">
        <v>49</v>
      </c>
      <c r="B52" s="377">
        <v>41691</v>
      </c>
      <c r="C52" s="152" t="s">
        <v>458</v>
      </c>
      <c r="D52" s="340" t="s">
        <v>373</v>
      </c>
      <c r="E52" s="370">
        <v>803.85</v>
      </c>
      <c r="F52" s="158" t="s">
        <v>207</v>
      </c>
      <c r="G52" s="340" t="s">
        <v>208</v>
      </c>
      <c r="H52" s="154" t="s">
        <v>294</v>
      </c>
      <c r="I52" s="359" t="s">
        <v>357</v>
      </c>
      <c r="J52" s="365"/>
      <c r="K52" s="366"/>
      <c r="L52" s="240"/>
    </row>
    <row r="53" spans="1:12" s="188" customFormat="1" ht="37.5" customHeight="1" thickTop="1">
      <c r="A53" s="382">
        <v>50</v>
      </c>
      <c r="B53" s="377">
        <v>41701</v>
      </c>
      <c r="C53" s="152" t="s">
        <v>459</v>
      </c>
      <c r="D53" s="340" t="s">
        <v>293</v>
      </c>
      <c r="E53" s="370">
        <v>5.85</v>
      </c>
      <c r="F53" s="355" t="s">
        <v>1070</v>
      </c>
      <c r="G53" s="356" t="s">
        <v>243</v>
      </c>
      <c r="H53" s="154" t="s">
        <v>294</v>
      </c>
      <c r="I53" s="359" t="s">
        <v>366</v>
      </c>
      <c r="J53" s="365"/>
      <c r="K53" s="366"/>
      <c r="L53" s="240"/>
    </row>
    <row r="54" spans="1:12" s="188" customFormat="1" ht="37.5" customHeight="1">
      <c r="A54" s="382">
        <v>51</v>
      </c>
      <c r="B54" s="574">
        <v>41701</v>
      </c>
      <c r="C54" s="575" t="s">
        <v>754</v>
      </c>
      <c r="D54" s="576" t="s">
        <v>293</v>
      </c>
      <c r="E54" s="577">
        <v>6</v>
      </c>
      <c r="F54" s="578" t="s">
        <v>1070</v>
      </c>
      <c r="G54" s="576" t="s">
        <v>243</v>
      </c>
      <c r="H54" s="562" t="s">
        <v>294</v>
      </c>
      <c r="I54" s="582" t="s">
        <v>751</v>
      </c>
      <c r="J54" s="570"/>
      <c r="K54" s="571"/>
      <c r="L54" s="572"/>
    </row>
    <row r="55" spans="1:12" ht="37.5" customHeight="1">
      <c r="A55" s="382">
        <v>52</v>
      </c>
      <c r="B55" s="377">
        <v>41708</v>
      </c>
      <c r="C55" s="152" t="s">
        <v>461</v>
      </c>
      <c r="D55" s="340" t="s">
        <v>373</v>
      </c>
      <c r="E55" s="375">
        <f>18+28</f>
        <v>46</v>
      </c>
      <c r="F55" s="158" t="s">
        <v>207</v>
      </c>
      <c r="G55" s="340" t="s">
        <v>208</v>
      </c>
      <c r="H55" s="154" t="s">
        <v>294</v>
      </c>
      <c r="I55" s="359" t="s">
        <v>359</v>
      </c>
      <c r="J55" s="365"/>
      <c r="K55" s="366"/>
      <c r="L55" s="240"/>
    </row>
    <row r="56" spans="1:12" ht="37.5" customHeight="1">
      <c r="A56" s="382">
        <v>53</v>
      </c>
      <c r="B56" s="377">
        <v>41708</v>
      </c>
      <c r="C56" s="152" t="s">
        <v>461</v>
      </c>
      <c r="D56" s="340" t="s">
        <v>373</v>
      </c>
      <c r="E56" s="375">
        <f>297.5</f>
        <v>297.5</v>
      </c>
      <c r="F56" s="158" t="s">
        <v>207</v>
      </c>
      <c r="G56" s="340" t="s">
        <v>208</v>
      </c>
      <c r="H56" s="154" t="s">
        <v>294</v>
      </c>
      <c r="I56" s="359" t="s">
        <v>359</v>
      </c>
      <c r="J56" s="365"/>
      <c r="K56" s="366"/>
      <c r="L56" s="240"/>
    </row>
    <row r="57" spans="1:12" ht="37.5" customHeight="1">
      <c r="A57" s="382">
        <v>54</v>
      </c>
      <c r="B57" s="377">
        <v>41708</v>
      </c>
      <c r="C57" s="152" t="s">
        <v>461</v>
      </c>
      <c r="D57" s="340" t="s">
        <v>373</v>
      </c>
      <c r="E57" s="375">
        <f>306.07</f>
        <v>306.07</v>
      </c>
      <c r="F57" s="158" t="s">
        <v>207</v>
      </c>
      <c r="G57" s="340" t="s">
        <v>208</v>
      </c>
      <c r="H57" s="154" t="s">
        <v>294</v>
      </c>
      <c r="I57" s="359" t="s">
        <v>356</v>
      </c>
      <c r="J57" s="365"/>
      <c r="K57" s="366"/>
      <c r="L57" s="240"/>
    </row>
    <row r="58" spans="1:12" ht="37.5" customHeight="1">
      <c r="A58" s="382">
        <v>55</v>
      </c>
      <c r="B58" s="377">
        <v>41708</v>
      </c>
      <c r="C58" s="152" t="s">
        <v>461</v>
      </c>
      <c r="D58" s="340" t="s">
        <v>373</v>
      </c>
      <c r="E58" s="375">
        <v>30.5</v>
      </c>
      <c r="F58" s="158" t="s">
        <v>262</v>
      </c>
      <c r="G58" s="159" t="s">
        <v>263</v>
      </c>
      <c r="H58" s="154" t="s">
        <v>294</v>
      </c>
      <c r="I58" s="359" t="s">
        <v>370</v>
      </c>
      <c r="J58" s="365"/>
      <c r="K58" s="366"/>
      <c r="L58" s="240"/>
    </row>
    <row r="59" spans="1:12" ht="37.5" customHeight="1">
      <c r="A59" s="382">
        <v>56</v>
      </c>
      <c r="B59" s="377">
        <v>41708</v>
      </c>
      <c r="C59" s="152" t="s">
        <v>461</v>
      </c>
      <c r="D59" s="340" t="s">
        <v>373</v>
      </c>
      <c r="E59" s="375">
        <v>0.63</v>
      </c>
      <c r="F59" s="158" t="s">
        <v>147</v>
      </c>
      <c r="G59" s="159" t="s">
        <v>188</v>
      </c>
      <c r="H59" s="154" t="s">
        <v>294</v>
      </c>
      <c r="I59" s="359" t="s">
        <v>366</v>
      </c>
      <c r="J59" s="365"/>
      <c r="K59" s="366"/>
      <c r="L59" s="240"/>
    </row>
    <row r="60" spans="1:12" ht="37.5" customHeight="1">
      <c r="A60" s="382">
        <v>57</v>
      </c>
      <c r="B60" s="377">
        <v>41708</v>
      </c>
      <c r="C60" s="152" t="s">
        <v>605</v>
      </c>
      <c r="D60" s="154" t="s">
        <v>333</v>
      </c>
      <c r="E60" s="375">
        <v>1020.73</v>
      </c>
      <c r="F60" s="154"/>
      <c r="G60" s="340" t="s">
        <v>430</v>
      </c>
      <c r="H60" s="154" t="s">
        <v>294</v>
      </c>
      <c r="I60" s="359" t="s">
        <v>431</v>
      </c>
      <c r="J60" s="365">
        <f>'GIORNALE DELLE ENTRATE'!E32+'GIORNALE DELLE ENTRATE'!E33+'GIORNALE DELLE ENTRATE'!E34+'GIORNALE DELLE ENTRATE'!E35</f>
        <v>14541.58</v>
      </c>
      <c r="K60" s="366">
        <f>E60+E61-J60</f>
        <v>-13520.05</v>
      </c>
      <c r="L60" s="240"/>
    </row>
    <row r="61" spans="1:12" ht="37.5" customHeight="1">
      <c r="A61" s="382">
        <v>58</v>
      </c>
      <c r="B61" s="377">
        <v>41708</v>
      </c>
      <c r="C61" s="152" t="s">
        <v>606</v>
      </c>
      <c r="D61" s="154" t="s">
        <v>333</v>
      </c>
      <c r="E61" s="375">
        <v>0.8</v>
      </c>
      <c r="F61" s="154"/>
      <c r="G61" s="340" t="s">
        <v>430</v>
      </c>
      <c r="H61" s="154" t="s">
        <v>294</v>
      </c>
      <c r="I61" s="359" t="s">
        <v>431</v>
      </c>
      <c r="J61" s="365"/>
      <c r="K61" s="366"/>
      <c r="L61" s="240"/>
    </row>
    <row r="62" spans="1:12" ht="37.5" customHeight="1">
      <c r="A62" s="382">
        <v>59</v>
      </c>
      <c r="B62" s="377">
        <v>41708</v>
      </c>
      <c r="C62" s="152" t="s">
        <v>607</v>
      </c>
      <c r="D62" s="340" t="s">
        <v>284</v>
      </c>
      <c r="E62" s="370">
        <v>195.42</v>
      </c>
      <c r="F62" s="154"/>
      <c r="G62" s="340" t="s">
        <v>430</v>
      </c>
      <c r="H62" s="154" t="s">
        <v>294</v>
      </c>
      <c r="I62" s="359" t="s">
        <v>431</v>
      </c>
      <c r="J62" s="365"/>
      <c r="K62" s="366"/>
      <c r="L62" s="240"/>
    </row>
    <row r="63" spans="1:12" ht="37.5" customHeight="1">
      <c r="A63" s="382">
        <v>60</v>
      </c>
      <c r="B63" s="377">
        <v>41708</v>
      </c>
      <c r="C63" s="152" t="s">
        <v>608</v>
      </c>
      <c r="D63" s="340" t="s">
        <v>284</v>
      </c>
      <c r="E63" s="370">
        <v>8.26</v>
      </c>
      <c r="F63" s="154"/>
      <c r="G63" s="340" t="s">
        <v>430</v>
      </c>
      <c r="H63" s="154" t="s">
        <v>294</v>
      </c>
      <c r="I63" s="359" t="s">
        <v>431</v>
      </c>
      <c r="J63" s="365"/>
      <c r="K63" s="366"/>
      <c r="L63" s="240"/>
    </row>
    <row r="64" spans="1:12" ht="37.5" customHeight="1">
      <c r="A64" s="382">
        <v>61</v>
      </c>
      <c r="B64" s="377">
        <v>41708</v>
      </c>
      <c r="C64" s="152" t="s">
        <v>460</v>
      </c>
      <c r="D64" s="340" t="s">
        <v>377</v>
      </c>
      <c r="E64" s="370">
        <v>403.01</v>
      </c>
      <c r="F64" s="158" t="s">
        <v>262</v>
      </c>
      <c r="G64" s="340" t="s">
        <v>263</v>
      </c>
      <c r="H64" s="154" t="s">
        <v>294</v>
      </c>
      <c r="I64" s="359" t="s">
        <v>378</v>
      </c>
      <c r="J64" s="365"/>
      <c r="K64" s="366"/>
      <c r="L64" s="240"/>
    </row>
    <row r="65" spans="1:12" ht="37.5" customHeight="1">
      <c r="A65" s="382">
        <v>62</v>
      </c>
      <c r="B65" s="574">
        <v>41709</v>
      </c>
      <c r="C65" s="575" t="s">
        <v>841</v>
      </c>
      <c r="D65" s="576" t="s">
        <v>840</v>
      </c>
      <c r="E65" s="577">
        <v>525</v>
      </c>
      <c r="F65" s="578" t="s">
        <v>262</v>
      </c>
      <c r="G65" s="576" t="s">
        <v>263</v>
      </c>
      <c r="H65" s="562" t="s">
        <v>294</v>
      </c>
      <c r="I65" s="582" t="s">
        <v>751</v>
      </c>
      <c r="J65" s="570"/>
      <c r="K65" s="571"/>
      <c r="L65" s="572"/>
    </row>
    <row r="66" spans="1:12" ht="37.5" customHeight="1">
      <c r="A66" s="382">
        <v>63</v>
      </c>
      <c r="B66" s="377">
        <v>41715</v>
      </c>
      <c r="C66" s="152" t="s">
        <v>653</v>
      </c>
      <c r="D66" s="340" t="s">
        <v>296</v>
      </c>
      <c r="E66" s="370">
        <v>211.34</v>
      </c>
      <c r="F66" s="154" t="s">
        <v>79</v>
      </c>
      <c r="G66" s="154" t="s">
        <v>0</v>
      </c>
      <c r="H66" s="154" t="s">
        <v>294</v>
      </c>
      <c r="I66" s="359" t="s">
        <v>336</v>
      </c>
      <c r="J66" s="365"/>
      <c r="K66" s="366"/>
      <c r="L66" s="240"/>
    </row>
    <row r="67" spans="1:12" ht="37.5" customHeight="1">
      <c r="A67" s="382">
        <v>64</v>
      </c>
      <c r="B67" s="377">
        <v>41715</v>
      </c>
      <c r="C67" s="152" t="s">
        <v>365</v>
      </c>
      <c r="D67" s="340" t="s">
        <v>300</v>
      </c>
      <c r="E67" s="370">
        <v>293</v>
      </c>
      <c r="F67" s="158" t="s">
        <v>170</v>
      </c>
      <c r="G67" s="159" t="s">
        <v>44</v>
      </c>
      <c r="H67" s="154" t="s">
        <v>294</v>
      </c>
      <c r="I67" s="359" t="s">
        <v>336</v>
      </c>
      <c r="J67" s="365"/>
      <c r="K67" s="366"/>
      <c r="L67" s="240"/>
    </row>
    <row r="68" spans="1:12" ht="37.5" customHeight="1">
      <c r="A68" s="382">
        <v>65</v>
      </c>
      <c r="B68" s="377">
        <v>41715</v>
      </c>
      <c r="C68" s="152" t="s">
        <v>654</v>
      </c>
      <c r="D68" s="340" t="s">
        <v>296</v>
      </c>
      <c r="E68" s="370">
        <v>7.74</v>
      </c>
      <c r="F68" s="154" t="s">
        <v>79</v>
      </c>
      <c r="G68" s="154" t="s">
        <v>0</v>
      </c>
      <c r="H68" s="154" t="s">
        <v>294</v>
      </c>
      <c r="I68" s="359" t="s">
        <v>336</v>
      </c>
      <c r="J68" s="365"/>
      <c r="K68" s="366"/>
      <c r="L68" s="240"/>
    </row>
    <row r="69" spans="1:12" ht="37.5" customHeight="1">
      <c r="A69" s="382">
        <v>66</v>
      </c>
      <c r="B69" s="377">
        <v>41715</v>
      </c>
      <c r="C69" s="152" t="s">
        <v>690</v>
      </c>
      <c r="D69" s="340" t="s">
        <v>296</v>
      </c>
      <c r="E69" s="370">
        <v>500</v>
      </c>
      <c r="F69" s="154" t="s">
        <v>79</v>
      </c>
      <c r="G69" s="154" t="s">
        <v>0</v>
      </c>
      <c r="H69" s="154" t="s">
        <v>295</v>
      </c>
      <c r="I69" s="359" t="s">
        <v>336</v>
      </c>
      <c r="J69" s="365"/>
      <c r="K69" s="366"/>
      <c r="L69" s="240"/>
    </row>
    <row r="70" spans="1:12" ht="37.5" customHeight="1">
      <c r="A70" s="382">
        <v>67</v>
      </c>
      <c r="B70" s="377">
        <v>41715</v>
      </c>
      <c r="C70" s="152" t="s">
        <v>691</v>
      </c>
      <c r="D70" s="340" t="s">
        <v>296</v>
      </c>
      <c r="E70" s="370">
        <v>163.6</v>
      </c>
      <c r="F70" s="154" t="s">
        <v>79</v>
      </c>
      <c r="G70" s="154" t="s">
        <v>0</v>
      </c>
      <c r="H70" s="154" t="s">
        <v>294</v>
      </c>
      <c r="I70" s="359" t="s">
        <v>336</v>
      </c>
      <c r="J70" s="365"/>
      <c r="K70" s="366"/>
      <c r="L70" s="240"/>
    </row>
    <row r="71" spans="1:12" ht="37.5" customHeight="1">
      <c r="A71" s="382">
        <v>68</v>
      </c>
      <c r="B71" s="574">
        <v>41716</v>
      </c>
      <c r="C71" s="575" t="s">
        <v>843</v>
      </c>
      <c r="D71" s="576" t="s">
        <v>842</v>
      </c>
      <c r="E71" s="577">
        <v>740</v>
      </c>
      <c r="F71" s="578" t="s">
        <v>262</v>
      </c>
      <c r="G71" s="576" t="s">
        <v>263</v>
      </c>
      <c r="H71" s="562" t="s">
        <v>294</v>
      </c>
      <c r="I71" s="582" t="s">
        <v>751</v>
      </c>
      <c r="J71" s="570"/>
      <c r="K71" s="571"/>
      <c r="L71" s="572"/>
    </row>
    <row r="72" spans="1:12" ht="37.5" customHeight="1">
      <c r="A72" s="382">
        <v>69</v>
      </c>
      <c r="B72" s="377">
        <v>41722</v>
      </c>
      <c r="C72" s="152" t="s">
        <v>472</v>
      </c>
      <c r="D72" s="340" t="s">
        <v>372</v>
      </c>
      <c r="E72" s="370">
        <v>2</v>
      </c>
      <c r="F72" s="158" t="s">
        <v>207</v>
      </c>
      <c r="G72" s="340" t="s">
        <v>208</v>
      </c>
      <c r="H72" s="154" t="s">
        <v>294</v>
      </c>
      <c r="I72" s="359" t="s">
        <v>358</v>
      </c>
      <c r="J72" s="365"/>
      <c r="K72" s="366"/>
      <c r="L72" s="240"/>
    </row>
    <row r="73" spans="1:12" ht="37.5" customHeight="1">
      <c r="A73" s="382">
        <v>70</v>
      </c>
      <c r="B73" s="377">
        <v>41722</v>
      </c>
      <c r="C73" s="152" t="s">
        <v>473</v>
      </c>
      <c r="D73" s="340" t="s">
        <v>373</v>
      </c>
      <c r="E73" s="370">
        <v>366.85</v>
      </c>
      <c r="F73" s="158" t="s">
        <v>207</v>
      </c>
      <c r="G73" s="340" t="s">
        <v>208</v>
      </c>
      <c r="H73" s="154" t="s">
        <v>294</v>
      </c>
      <c r="I73" s="359" t="s">
        <v>359</v>
      </c>
      <c r="J73" s="365"/>
      <c r="K73" s="366"/>
      <c r="L73" s="240"/>
    </row>
    <row r="74" spans="1:12" ht="37.5" customHeight="1">
      <c r="A74" s="382">
        <v>71</v>
      </c>
      <c r="B74" s="377">
        <v>41722</v>
      </c>
      <c r="C74" s="152" t="s">
        <v>465</v>
      </c>
      <c r="D74" s="340" t="s">
        <v>376</v>
      </c>
      <c r="E74" s="370">
        <v>280</v>
      </c>
      <c r="F74" s="158" t="s">
        <v>262</v>
      </c>
      <c r="G74" s="340" t="s">
        <v>263</v>
      </c>
      <c r="H74" s="154" t="s">
        <v>294</v>
      </c>
      <c r="I74" s="359" t="s">
        <v>370</v>
      </c>
      <c r="J74" s="365"/>
      <c r="K74" s="366"/>
      <c r="L74" s="240"/>
    </row>
    <row r="75" spans="1:12" ht="37.5" customHeight="1">
      <c r="A75" s="382">
        <v>72</v>
      </c>
      <c r="B75" s="377">
        <v>41722</v>
      </c>
      <c r="C75" s="152" t="s">
        <v>466</v>
      </c>
      <c r="D75" s="340" t="s">
        <v>371</v>
      </c>
      <c r="E75" s="370">
        <v>857.75</v>
      </c>
      <c r="F75" s="158" t="s">
        <v>262</v>
      </c>
      <c r="G75" s="340" t="s">
        <v>263</v>
      </c>
      <c r="H75" s="154" t="s">
        <v>294</v>
      </c>
      <c r="I75" s="359" t="s">
        <v>324</v>
      </c>
      <c r="J75" s="365"/>
      <c r="K75" s="366"/>
      <c r="L75" s="240"/>
    </row>
    <row r="76" spans="1:12" ht="37.5" customHeight="1">
      <c r="A76" s="382">
        <v>73</v>
      </c>
      <c r="B76" s="377">
        <v>41722</v>
      </c>
      <c r="C76" s="152" t="s">
        <v>467</v>
      </c>
      <c r="D76" s="340" t="s">
        <v>371</v>
      </c>
      <c r="E76" s="370">
        <v>669.79</v>
      </c>
      <c r="F76" s="158" t="s">
        <v>262</v>
      </c>
      <c r="G76" s="340" t="s">
        <v>263</v>
      </c>
      <c r="H76" s="154" t="s">
        <v>294</v>
      </c>
      <c r="I76" s="359" t="s">
        <v>324</v>
      </c>
      <c r="J76" s="365"/>
      <c r="K76" s="366"/>
      <c r="L76" s="240"/>
    </row>
    <row r="77" spans="1:12" ht="37.5" customHeight="1">
      <c r="A77" s="382">
        <v>74</v>
      </c>
      <c r="B77" s="377">
        <v>41722</v>
      </c>
      <c r="C77" s="152" t="s">
        <v>468</v>
      </c>
      <c r="D77" s="340" t="s">
        <v>371</v>
      </c>
      <c r="E77" s="370">
        <v>1112.14</v>
      </c>
      <c r="F77" s="158" t="s">
        <v>262</v>
      </c>
      <c r="G77" s="340" t="s">
        <v>263</v>
      </c>
      <c r="H77" s="154" t="s">
        <v>294</v>
      </c>
      <c r="I77" s="359" t="s">
        <v>324</v>
      </c>
      <c r="J77" s="365"/>
      <c r="K77" s="366"/>
      <c r="L77" s="240"/>
    </row>
    <row r="78" spans="1:12" ht="37.5" customHeight="1">
      <c r="A78" s="382">
        <v>75</v>
      </c>
      <c r="B78" s="377">
        <v>41722</v>
      </c>
      <c r="C78" s="152" t="s">
        <v>469</v>
      </c>
      <c r="D78" s="340" t="s">
        <v>371</v>
      </c>
      <c r="E78" s="370">
        <v>436.91</v>
      </c>
      <c r="F78" s="158" t="s">
        <v>262</v>
      </c>
      <c r="G78" s="340" t="s">
        <v>263</v>
      </c>
      <c r="H78" s="154" t="s">
        <v>294</v>
      </c>
      <c r="I78" s="359" t="s">
        <v>324</v>
      </c>
      <c r="J78" s="365"/>
      <c r="K78" s="366"/>
      <c r="L78" s="240"/>
    </row>
    <row r="79" spans="1:12" ht="37.5" customHeight="1">
      <c r="A79" s="382">
        <v>76</v>
      </c>
      <c r="B79" s="377">
        <v>41722</v>
      </c>
      <c r="C79" s="152" t="s">
        <v>470</v>
      </c>
      <c r="D79" s="340" t="s">
        <v>379</v>
      </c>
      <c r="E79" s="370">
        <v>196.5</v>
      </c>
      <c r="F79" s="158" t="s">
        <v>262</v>
      </c>
      <c r="G79" s="340" t="s">
        <v>263</v>
      </c>
      <c r="H79" s="154" t="s">
        <v>294</v>
      </c>
      <c r="I79" s="359" t="s">
        <v>324</v>
      </c>
      <c r="J79" s="365"/>
      <c r="K79" s="366"/>
      <c r="L79" s="240"/>
    </row>
    <row r="80" spans="1:13" ht="37.5" customHeight="1">
      <c r="A80" s="382">
        <v>77</v>
      </c>
      <c r="B80" s="377">
        <v>41722</v>
      </c>
      <c r="C80" s="152" t="s">
        <v>471</v>
      </c>
      <c r="D80" s="340" t="s">
        <v>379</v>
      </c>
      <c r="E80" s="370">
        <v>223.2</v>
      </c>
      <c r="F80" s="158" t="s">
        <v>262</v>
      </c>
      <c r="G80" s="340" t="s">
        <v>263</v>
      </c>
      <c r="H80" s="154" t="s">
        <v>294</v>
      </c>
      <c r="I80" s="359" t="s">
        <v>324</v>
      </c>
      <c r="J80" s="365"/>
      <c r="K80" s="366"/>
      <c r="L80" s="240"/>
      <c r="M80" s="343"/>
    </row>
    <row r="81" spans="1:13" ht="37.5" customHeight="1">
      <c r="A81" s="382">
        <v>78</v>
      </c>
      <c r="B81" s="377">
        <v>41722</v>
      </c>
      <c r="C81" s="152" t="s">
        <v>474</v>
      </c>
      <c r="D81" s="340" t="s">
        <v>376</v>
      </c>
      <c r="E81" s="370">
        <v>396.61</v>
      </c>
      <c r="F81" s="158" t="s">
        <v>262</v>
      </c>
      <c r="G81" s="340" t="s">
        <v>263</v>
      </c>
      <c r="H81" s="154" t="s">
        <v>294</v>
      </c>
      <c r="I81" s="359" t="s">
        <v>370</v>
      </c>
      <c r="J81" s="365"/>
      <c r="K81" s="366"/>
      <c r="L81" s="240"/>
      <c r="M81" s="343"/>
    </row>
    <row r="82" spans="1:13" ht="37.5" customHeight="1">
      <c r="A82" s="382">
        <v>79</v>
      </c>
      <c r="B82" s="377">
        <v>41722</v>
      </c>
      <c r="C82" s="152" t="s">
        <v>475</v>
      </c>
      <c r="D82" s="340" t="s">
        <v>376</v>
      </c>
      <c r="E82" s="370">
        <v>199.8</v>
      </c>
      <c r="F82" s="158" t="s">
        <v>262</v>
      </c>
      <c r="G82" s="340" t="s">
        <v>263</v>
      </c>
      <c r="H82" s="154" t="s">
        <v>294</v>
      </c>
      <c r="I82" s="359" t="s">
        <v>370</v>
      </c>
      <c r="J82" s="365"/>
      <c r="K82" s="366"/>
      <c r="L82" s="240"/>
      <c r="M82" s="343"/>
    </row>
    <row r="83" spans="1:13" s="188" customFormat="1" ht="37.5" customHeight="1">
      <c r="A83" s="382">
        <v>80</v>
      </c>
      <c r="B83" s="377">
        <v>41722</v>
      </c>
      <c r="C83" s="152" t="s">
        <v>476</v>
      </c>
      <c r="D83" s="340" t="s">
        <v>371</v>
      </c>
      <c r="E83" s="370">
        <v>351.15</v>
      </c>
      <c r="F83" s="158" t="s">
        <v>262</v>
      </c>
      <c r="G83" s="340" t="s">
        <v>263</v>
      </c>
      <c r="H83" s="154" t="s">
        <v>294</v>
      </c>
      <c r="I83" s="359" t="s">
        <v>370</v>
      </c>
      <c r="J83" s="365"/>
      <c r="K83" s="366"/>
      <c r="L83" s="240"/>
      <c r="M83" s="343"/>
    </row>
    <row r="84" spans="1:13" s="188" customFormat="1" ht="37.5" customHeight="1">
      <c r="A84" s="382">
        <v>81</v>
      </c>
      <c r="B84" s="377">
        <v>41726</v>
      </c>
      <c r="C84" s="152" t="s">
        <v>477</v>
      </c>
      <c r="D84" s="340" t="s">
        <v>478</v>
      </c>
      <c r="E84" s="370">
        <v>440</v>
      </c>
      <c r="F84" s="158" t="s">
        <v>262</v>
      </c>
      <c r="G84" s="340" t="s">
        <v>263</v>
      </c>
      <c r="H84" s="154" t="s">
        <v>294</v>
      </c>
      <c r="I84" s="359" t="s">
        <v>324</v>
      </c>
      <c r="J84" s="365"/>
      <c r="K84" s="366"/>
      <c r="L84" s="240"/>
      <c r="M84" s="343"/>
    </row>
    <row r="85" spans="1:13" s="188" customFormat="1" ht="37.5" customHeight="1">
      <c r="A85" s="382">
        <v>82</v>
      </c>
      <c r="B85" s="377">
        <v>41726</v>
      </c>
      <c r="C85" s="152" t="s">
        <v>479</v>
      </c>
      <c r="D85" s="340" t="s">
        <v>480</v>
      </c>
      <c r="E85" s="370">
        <v>540</v>
      </c>
      <c r="F85" s="158" t="s">
        <v>262</v>
      </c>
      <c r="G85" s="340" t="s">
        <v>263</v>
      </c>
      <c r="H85" s="154" t="s">
        <v>294</v>
      </c>
      <c r="I85" s="359" t="s">
        <v>324</v>
      </c>
      <c r="J85" s="365"/>
      <c r="K85" s="366"/>
      <c r="L85" s="240"/>
      <c r="M85" s="343"/>
    </row>
    <row r="86" spans="1:13" s="188" customFormat="1" ht="37.5" customHeight="1">
      <c r="A86" s="382">
        <v>83</v>
      </c>
      <c r="B86" s="377">
        <v>41726</v>
      </c>
      <c r="C86" s="152" t="s">
        <v>481</v>
      </c>
      <c r="D86" s="340" t="s">
        <v>480</v>
      </c>
      <c r="E86" s="370">
        <v>120</v>
      </c>
      <c r="F86" s="158" t="s">
        <v>262</v>
      </c>
      <c r="G86" s="340" t="s">
        <v>263</v>
      </c>
      <c r="H86" s="154" t="s">
        <v>294</v>
      </c>
      <c r="I86" s="359" t="s">
        <v>324</v>
      </c>
      <c r="J86" s="370"/>
      <c r="K86" s="366"/>
      <c r="L86" s="240"/>
      <c r="M86" s="343"/>
    </row>
    <row r="87" spans="1:13" s="188" customFormat="1" ht="37.5" customHeight="1">
      <c r="A87" s="382">
        <v>84</v>
      </c>
      <c r="B87" s="377">
        <v>41729</v>
      </c>
      <c r="C87" s="152" t="s">
        <v>482</v>
      </c>
      <c r="D87" s="340" t="s">
        <v>371</v>
      </c>
      <c r="E87" s="370">
        <v>654.29</v>
      </c>
      <c r="F87" s="158" t="s">
        <v>262</v>
      </c>
      <c r="G87" s="340" t="s">
        <v>263</v>
      </c>
      <c r="H87" s="154" t="s">
        <v>294</v>
      </c>
      <c r="I87" s="359" t="s">
        <v>370</v>
      </c>
      <c r="J87" s="365"/>
      <c r="K87" s="366"/>
      <c r="L87" s="240"/>
      <c r="M87" s="343"/>
    </row>
    <row r="88" spans="1:13" s="188" customFormat="1" ht="37.5" customHeight="1" thickBot="1">
      <c r="A88" s="382">
        <v>85</v>
      </c>
      <c r="B88" s="377">
        <v>41729</v>
      </c>
      <c r="C88" s="152" t="s">
        <v>483</v>
      </c>
      <c r="D88" s="340" t="s">
        <v>376</v>
      </c>
      <c r="E88" s="370">
        <v>218.6</v>
      </c>
      <c r="F88" s="158" t="s">
        <v>262</v>
      </c>
      <c r="G88" s="340" t="s">
        <v>263</v>
      </c>
      <c r="H88" s="154" t="s">
        <v>294</v>
      </c>
      <c r="I88" s="359" t="s">
        <v>370</v>
      </c>
      <c r="J88" s="365"/>
      <c r="K88" s="366"/>
      <c r="L88" s="240"/>
      <c r="M88" s="343"/>
    </row>
    <row r="89" spans="1:13" s="188" customFormat="1" ht="37.5" customHeight="1" thickTop="1">
      <c r="A89" s="382">
        <v>86</v>
      </c>
      <c r="B89" s="377">
        <v>41730</v>
      </c>
      <c r="C89" s="344" t="s">
        <v>486</v>
      </c>
      <c r="D89" s="340" t="s">
        <v>293</v>
      </c>
      <c r="E89" s="372">
        <v>5.85</v>
      </c>
      <c r="F89" s="355" t="s">
        <v>1070</v>
      </c>
      <c r="G89" s="356" t="s">
        <v>243</v>
      </c>
      <c r="H89" s="154" t="s">
        <v>294</v>
      </c>
      <c r="I89" s="359" t="s">
        <v>366</v>
      </c>
      <c r="J89" s="249"/>
      <c r="K89" s="245"/>
      <c r="L89" s="240"/>
      <c r="M89" s="343"/>
    </row>
    <row r="90" spans="1:13" s="188" customFormat="1" ht="37.5" customHeight="1">
      <c r="A90" s="382">
        <v>87</v>
      </c>
      <c r="B90" s="377">
        <v>41730</v>
      </c>
      <c r="C90" s="152" t="s">
        <v>387</v>
      </c>
      <c r="D90" s="340" t="s">
        <v>293</v>
      </c>
      <c r="E90" s="155">
        <v>24.66</v>
      </c>
      <c r="F90" s="158" t="s">
        <v>141</v>
      </c>
      <c r="G90" s="159" t="s">
        <v>142</v>
      </c>
      <c r="H90" s="154" t="s">
        <v>294</v>
      </c>
      <c r="I90" s="359" t="s">
        <v>366</v>
      </c>
      <c r="J90" s="249"/>
      <c r="K90" s="245"/>
      <c r="L90" s="240"/>
      <c r="M90" s="343"/>
    </row>
    <row r="91" spans="1:13" s="188" customFormat="1" ht="37.5" customHeight="1">
      <c r="A91" s="382">
        <v>88</v>
      </c>
      <c r="B91" s="574">
        <v>41730</v>
      </c>
      <c r="C91" s="575" t="s">
        <v>755</v>
      </c>
      <c r="D91" s="576" t="s">
        <v>293</v>
      </c>
      <c r="E91" s="577">
        <v>6</v>
      </c>
      <c r="F91" s="578" t="s">
        <v>1070</v>
      </c>
      <c r="G91" s="576" t="s">
        <v>243</v>
      </c>
      <c r="H91" s="562" t="s">
        <v>294</v>
      </c>
      <c r="I91" s="582" t="s">
        <v>751</v>
      </c>
      <c r="J91" s="570"/>
      <c r="K91" s="571"/>
      <c r="L91" s="572"/>
      <c r="M91" s="343"/>
    </row>
    <row r="92" spans="1:13" s="188" customFormat="1" ht="37.5" customHeight="1">
      <c r="A92" s="382">
        <v>89</v>
      </c>
      <c r="B92" s="574">
        <v>41730</v>
      </c>
      <c r="C92" s="575" t="s">
        <v>387</v>
      </c>
      <c r="D92" s="576" t="s">
        <v>293</v>
      </c>
      <c r="E92" s="577">
        <v>24.66</v>
      </c>
      <c r="F92" s="578" t="s">
        <v>262</v>
      </c>
      <c r="G92" s="576" t="s">
        <v>263</v>
      </c>
      <c r="H92" s="562" t="s">
        <v>294</v>
      </c>
      <c r="I92" s="582" t="s">
        <v>751</v>
      </c>
      <c r="J92" s="570"/>
      <c r="K92" s="571"/>
      <c r="L92" s="572"/>
      <c r="M92" s="343"/>
    </row>
    <row r="93" spans="1:13" ht="37.5" customHeight="1">
      <c r="A93" s="382">
        <v>90</v>
      </c>
      <c r="B93" s="377">
        <v>41731</v>
      </c>
      <c r="C93" s="152" t="s">
        <v>484</v>
      </c>
      <c r="D93" s="340" t="s">
        <v>485</v>
      </c>
      <c r="E93" s="155">
        <v>19557</v>
      </c>
      <c r="F93" s="158" t="s">
        <v>262</v>
      </c>
      <c r="G93" s="340" t="s">
        <v>263</v>
      </c>
      <c r="H93" s="154" t="s">
        <v>295</v>
      </c>
      <c r="I93" s="359" t="s">
        <v>383</v>
      </c>
      <c r="J93" s="249"/>
      <c r="K93" s="245"/>
      <c r="L93" s="240"/>
      <c r="M93" s="343"/>
    </row>
    <row r="94" spans="1:13" s="188" customFormat="1" ht="36.75" customHeight="1">
      <c r="A94" s="382">
        <v>91</v>
      </c>
      <c r="B94" s="377">
        <v>41733</v>
      </c>
      <c r="C94" s="152" t="s">
        <v>613</v>
      </c>
      <c r="D94" s="154" t="s">
        <v>364</v>
      </c>
      <c r="E94" s="155">
        <v>707.68</v>
      </c>
      <c r="F94" s="154"/>
      <c r="G94" s="340" t="s">
        <v>430</v>
      </c>
      <c r="H94" s="154" t="s">
        <v>294</v>
      </c>
      <c r="I94" s="359" t="s">
        <v>445</v>
      </c>
      <c r="J94" s="249">
        <f>'GIORNALE DELLE ENTRATE'!E43+'GIORNALE DELLE ENTRATE'!E44+'GIORNALE DELLE ENTRATE'!E45+'GIORNALE DELLE ENTRATE'!E46</f>
        <v>2171.02</v>
      </c>
      <c r="K94" s="245">
        <f>E94-J94</f>
        <v>-1463.3400000000001</v>
      </c>
      <c r="L94" s="240"/>
      <c r="M94" s="343"/>
    </row>
    <row r="95" spans="1:13" s="188" customFormat="1" ht="12.75">
      <c r="A95" s="382">
        <v>92</v>
      </c>
      <c r="B95" s="377">
        <v>41733</v>
      </c>
      <c r="C95" s="152" t="s">
        <v>614</v>
      </c>
      <c r="D95" s="154" t="s">
        <v>284</v>
      </c>
      <c r="E95" s="155">
        <v>135.52</v>
      </c>
      <c r="F95" s="154"/>
      <c r="G95" s="340" t="s">
        <v>430</v>
      </c>
      <c r="H95" s="154" t="s">
        <v>294</v>
      </c>
      <c r="I95" s="359" t="s">
        <v>445</v>
      </c>
      <c r="J95" s="249"/>
      <c r="K95" s="245"/>
      <c r="L95" s="240"/>
      <c r="M95" s="343"/>
    </row>
    <row r="96" spans="1:13" s="188" customFormat="1" ht="12.75">
      <c r="A96" s="382">
        <v>93</v>
      </c>
      <c r="B96" s="377">
        <v>41733</v>
      </c>
      <c r="C96" s="152" t="s">
        <v>615</v>
      </c>
      <c r="D96" s="154" t="s">
        <v>284</v>
      </c>
      <c r="E96" s="155">
        <v>8.26</v>
      </c>
      <c r="F96" s="154"/>
      <c r="G96" s="340" t="s">
        <v>430</v>
      </c>
      <c r="H96" s="154" t="s">
        <v>294</v>
      </c>
      <c r="I96" s="359" t="s">
        <v>445</v>
      </c>
      <c r="J96" s="249"/>
      <c r="K96" s="245"/>
      <c r="L96" s="240"/>
      <c r="M96" s="343"/>
    </row>
    <row r="97" spans="1:13" s="188" customFormat="1" ht="37.5" customHeight="1">
      <c r="A97" s="382">
        <v>94</v>
      </c>
      <c r="B97" s="377">
        <v>41736</v>
      </c>
      <c r="C97" s="152" t="s">
        <v>487</v>
      </c>
      <c r="D97" s="340" t="s">
        <v>488</v>
      </c>
      <c r="E97" s="155">
        <v>22838.4</v>
      </c>
      <c r="F97" s="158" t="s">
        <v>207</v>
      </c>
      <c r="G97" s="340" t="s">
        <v>208</v>
      </c>
      <c r="H97" s="154" t="s">
        <v>294</v>
      </c>
      <c r="I97" s="359" t="s">
        <v>489</v>
      </c>
      <c r="J97" s="249">
        <v>3744</v>
      </c>
      <c r="K97" s="245">
        <f>E97-J97</f>
        <v>19094.4</v>
      </c>
      <c r="L97" s="240"/>
      <c r="M97" s="343"/>
    </row>
    <row r="98" spans="1:13" s="188" customFormat="1" ht="37.5" customHeight="1">
      <c r="A98" s="382">
        <v>95</v>
      </c>
      <c r="B98" s="377">
        <v>41745</v>
      </c>
      <c r="C98" s="152" t="s">
        <v>661</v>
      </c>
      <c r="D98" s="154" t="s">
        <v>296</v>
      </c>
      <c r="E98" s="155">
        <v>1400</v>
      </c>
      <c r="F98" s="154" t="s">
        <v>79</v>
      </c>
      <c r="G98" s="154" t="s">
        <v>0</v>
      </c>
      <c r="H98" s="154" t="s">
        <v>295</v>
      </c>
      <c r="I98" s="195" t="s">
        <v>336</v>
      </c>
      <c r="J98" s="249"/>
      <c r="K98" s="245"/>
      <c r="L98" s="240"/>
      <c r="M98" s="343"/>
    </row>
    <row r="99" spans="1:13" s="188" customFormat="1" ht="37.5" customHeight="1">
      <c r="A99" s="382">
        <v>96</v>
      </c>
      <c r="B99" s="377">
        <v>41745</v>
      </c>
      <c r="C99" s="152" t="s">
        <v>662</v>
      </c>
      <c r="D99" s="154" t="s">
        <v>296</v>
      </c>
      <c r="E99" s="155">
        <v>57.42</v>
      </c>
      <c r="F99" s="154" t="s">
        <v>152</v>
      </c>
      <c r="G99" s="154" t="s">
        <v>150</v>
      </c>
      <c r="H99" s="154" t="s">
        <v>294</v>
      </c>
      <c r="I99" s="195" t="s">
        <v>366</v>
      </c>
      <c r="J99" s="249"/>
      <c r="K99" s="245"/>
      <c r="L99" s="240"/>
      <c r="M99" s="343"/>
    </row>
    <row r="100" spans="1:13" s="188" customFormat="1" ht="37.5" customHeight="1">
      <c r="A100" s="382">
        <v>97</v>
      </c>
      <c r="B100" s="377">
        <v>41745</v>
      </c>
      <c r="C100" s="152" t="s">
        <v>657</v>
      </c>
      <c r="D100" s="154" t="s">
        <v>296</v>
      </c>
      <c r="E100" s="155">
        <v>146.23</v>
      </c>
      <c r="F100" s="154" t="s">
        <v>79</v>
      </c>
      <c r="G100" s="154" t="s">
        <v>0</v>
      </c>
      <c r="H100" s="154" t="s">
        <v>294</v>
      </c>
      <c r="I100" s="195" t="s">
        <v>336</v>
      </c>
      <c r="J100" s="249"/>
      <c r="K100" s="245"/>
      <c r="L100" s="240"/>
      <c r="M100" s="343"/>
    </row>
    <row r="101" spans="1:13" s="188" customFormat="1" ht="37.5" customHeight="1">
      <c r="A101" s="382">
        <v>98</v>
      </c>
      <c r="B101" s="377">
        <v>41745</v>
      </c>
      <c r="C101" s="152" t="s">
        <v>658</v>
      </c>
      <c r="D101" s="154" t="s">
        <v>300</v>
      </c>
      <c r="E101" s="155">
        <v>203</v>
      </c>
      <c r="F101" s="158" t="s">
        <v>170</v>
      </c>
      <c r="G101" s="159" t="s">
        <v>44</v>
      </c>
      <c r="H101" s="154" t="s">
        <v>294</v>
      </c>
      <c r="I101" s="195" t="s">
        <v>336</v>
      </c>
      <c r="J101" s="249"/>
      <c r="K101" s="245"/>
      <c r="L101" s="240"/>
      <c r="M101" s="343"/>
    </row>
    <row r="102" spans="1:13" s="188" customFormat="1" ht="37.5" customHeight="1">
      <c r="A102" s="382">
        <v>99</v>
      </c>
      <c r="B102" s="377">
        <v>41745</v>
      </c>
      <c r="C102" s="152" t="s">
        <v>660</v>
      </c>
      <c r="D102" s="154" t="s">
        <v>617</v>
      </c>
      <c r="E102" s="155">
        <v>19.96</v>
      </c>
      <c r="F102" s="154" t="s">
        <v>79</v>
      </c>
      <c r="G102" s="154" t="s">
        <v>0</v>
      </c>
      <c r="H102" s="154" t="s">
        <v>294</v>
      </c>
      <c r="I102" s="195" t="s">
        <v>336</v>
      </c>
      <c r="J102" s="249"/>
      <c r="K102" s="245"/>
      <c r="L102" s="240"/>
      <c r="M102" s="343"/>
    </row>
    <row r="103" spans="1:13" s="188" customFormat="1" ht="37.5" customHeight="1">
      <c r="A103" s="382">
        <v>100</v>
      </c>
      <c r="B103" s="377">
        <v>41745</v>
      </c>
      <c r="C103" s="152" t="s">
        <v>659</v>
      </c>
      <c r="D103" s="154" t="s">
        <v>618</v>
      </c>
      <c r="E103" s="155">
        <f>6.27+2.36</f>
        <v>8.629999999999999</v>
      </c>
      <c r="F103" s="154" t="s">
        <v>79</v>
      </c>
      <c r="G103" s="154" t="s">
        <v>0</v>
      </c>
      <c r="H103" s="154" t="s">
        <v>294</v>
      </c>
      <c r="I103" s="195" t="s">
        <v>336</v>
      </c>
      <c r="J103" s="249"/>
      <c r="K103" s="245"/>
      <c r="L103" s="240"/>
      <c r="M103" s="343"/>
    </row>
    <row r="104" spans="1:13" s="188" customFormat="1" ht="37.5" customHeight="1">
      <c r="A104" s="382">
        <v>101</v>
      </c>
      <c r="B104" s="574">
        <v>41752</v>
      </c>
      <c r="C104" s="575" t="s">
        <v>845</v>
      </c>
      <c r="D104" s="576" t="s">
        <v>844</v>
      </c>
      <c r="E104" s="577">
        <v>440</v>
      </c>
      <c r="F104" s="578" t="s">
        <v>262</v>
      </c>
      <c r="G104" s="576" t="s">
        <v>263</v>
      </c>
      <c r="H104" s="562" t="s">
        <v>294</v>
      </c>
      <c r="I104" s="582" t="s">
        <v>751</v>
      </c>
      <c r="J104" s="570"/>
      <c r="K104" s="571"/>
      <c r="L104" s="572"/>
      <c r="M104" s="343"/>
    </row>
    <row r="105" spans="1:13" s="188" customFormat="1" ht="37.5" customHeight="1">
      <c r="A105" s="382">
        <v>102</v>
      </c>
      <c r="B105" s="574">
        <v>41752</v>
      </c>
      <c r="C105" s="575" t="s">
        <v>847</v>
      </c>
      <c r="D105" s="576" t="s">
        <v>846</v>
      </c>
      <c r="E105" s="577">
        <v>3980</v>
      </c>
      <c r="F105" s="578" t="s">
        <v>262</v>
      </c>
      <c r="G105" s="576" t="s">
        <v>263</v>
      </c>
      <c r="H105" s="562" t="s">
        <v>294</v>
      </c>
      <c r="I105" s="582" t="s">
        <v>751</v>
      </c>
      <c r="J105" s="570"/>
      <c r="K105" s="571"/>
      <c r="L105" s="572"/>
      <c r="M105" s="343"/>
    </row>
    <row r="106" spans="1:13" s="188" customFormat="1" ht="37.5" customHeight="1">
      <c r="A106" s="382">
        <v>103</v>
      </c>
      <c r="B106" s="574">
        <v>41752</v>
      </c>
      <c r="C106" s="575" t="s">
        <v>849</v>
      </c>
      <c r="D106" s="576" t="s">
        <v>848</v>
      </c>
      <c r="E106" s="577">
        <v>1250</v>
      </c>
      <c r="F106" s="578" t="s">
        <v>262</v>
      </c>
      <c r="G106" s="576" t="s">
        <v>263</v>
      </c>
      <c r="H106" s="562" t="s">
        <v>294</v>
      </c>
      <c r="I106" s="582" t="s">
        <v>751</v>
      </c>
      <c r="J106" s="570"/>
      <c r="K106" s="571"/>
      <c r="L106" s="572"/>
      <c r="M106" s="343"/>
    </row>
    <row r="107" spans="1:13" s="188" customFormat="1" ht="37.5" customHeight="1">
      <c r="A107" s="382">
        <v>104</v>
      </c>
      <c r="B107" s="574">
        <v>41758</v>
      </c>
      <c r="C107" s="575" t="s">
        <v>851</v>
      </c>
      <c r="D107" s="576" t="s">
        <v>850</v>
      </c>
      <c r="E107" s="577">
        <v>250</v>
      </c>
      <c r="F107" s="578" t="s">
        <v>262</v>
      </c>
      <c r="G107" s="576" t="s">
        <v>263</v>
      </c>
      <c r="H107" s="562" t="s">
        <v>294</v>
      </c>
      <c r="I107" s="582" t="s">
        <v>751</v>
      </c>
      <c r="J107" s="570"/>
      <c r="K107" s="571"/>
      <c r="L107" s="572"/>
      <c r="M107" s="343"/>
    </row>
    <row r="108" spans="1:13" s="188" customFormat="1" ht="37.5" customHeight="1">
      <c r="A108" s="382">
        <v>105</v>
      </c>
      <c r="B108" s="574">
        <v>41758</v>
      </c>
      <c r="C108" s="575" t="s">
        <v>853</v>
      </c>
      <c r="D108" s="576" t="s">
        <v>852</v>
      </c>
      <c r="E108" s="577">
        <v>1700</v>
      </c>
      <c r="F108" s="578" t="s">
        <v>262</v>
      </c>
      <c r="G108" s="576" t="s">
        <v>263</v>
      </c>
      <c r="H108" s="562" t="s">
        <v>294</v>
      </c>
      <c r="I108" s="582" t="s">
        <v>751</v>
      </c>
      <c r="J108" s="570"/>
      <c r="K108" s="571"/>
      <c r="L108" s="572"/>
      <c r="M108" s="343"/>
    </row>
    <row r="109" spans="1:13" s="188" customFormat="1" ht="37.5" customHeight="1">
      <c r="A109" s="382">
        <v>106</v>
      </c>
      <c r="B109" s="574">
        <v>41758</v>
      </c>
      <c r="C109" s="575" t="s">
        <v>854</v>
      </c>
      <c r="D109" s="576" t="s">
        <v>838</v>
      </c>
      <c r="E109" s="577">
        <v>950</v>
      </c>
      <c r="F109" s="578" t="s">
        <v>262</v>
      </c>
      <c r="G109" s="576" t="s">
        <v>263</v>
      </c>
      <c r="H109" s="562" t="s">
        <v>294</v>
      </c>
      <c r="I109" s="582" t="s">
        <v>751</v>
      </c>
      <c r="J109" s="570"/>
      <c r="K109" s="571"/>
      <c r="L109" s="572"/>
      <c r="M109" s="343"/>
    </row>
    <row r="110" spans="1:13" s="188" customFormat="1" ht="37.5" customHeight="1" thickBot="1">
      <c r="A110" s="382">
        <v>107</v>
      </c>
      <c r="B110" s="574">
        <v>41758</v>
      </c>
      <c r="C110" s="575" t="s">
        <v>855</v>
      </c>
      <c r="D110" s="576" t="s">
        <v>852</v>
      </c>
      <c r="E110" s="577">
        <v>3800</v>
      </c>
      <c r="F110" s="578" t="s">
        <v>262</v>
      </c>
      <c r="G110" s="576" t="s">
        <v>263</v>
      </c>
      <c r="H110" s="562" t="s">
        <v>294</v>
      </c>
      <c r="I110" s="582" t="s">
        <v>751</v>
      </c>
      <c r="J110" s="570"/>
      <c r="K110" s="571"/>
      <c r="L110" s="572"/>
      <c r="M110" s="343"/>
    </row>
    <row r="111" spans="1:13" s="188" customFormat="1" ht="37.5" customHeight="1" thickTop="1">
      <c r="A111" s="382">
        <v>108</v>
      </c>
      <c r="B111" s="377">
        <v>41761</v>
      </c>
      <c r="C111" s="152" t="s">
        <v>490</v>
      </c>
      <c r="D111" s="340" t="s">
        <v>293</v>
      </c>
      <c r="E111" s="155">
        <v>5.85</v>
      </c>
      <c r="F111" s="355" t="s">
        <v>1070</v>
      </c>
      <c r="G111" s="356" t="s">
        <v>243</v>
      </c>
      <c r="H111" s="154" t="s">
        <v>294</v>
      </c>
      <c r="I111" s="359" t="s">
        <v>366</v>
      </c>
      <c r="J111" s="249"/>
      <c r="K111" s="245"/>
      <c r="L111" s="240"/>
      <c r="M111" s="343"/>
    </row>
    <row r="112" spans="1:13" s="188" customFormat="1" ht="37.5" customHeight="1">
      <c r="A112" s="382">
        <v>109</v>
      </c>
      <c r="B112" s="574">
        <v>41761</v>
      </c>
      <c r="C112" s="575" t="s">
        <v>756</v>
      </c>
      <c r="D112" s="576" t="s">
        <v>293</v>
      </c>
      <c r="E112" s="577">
        <v>6</v>
      </c>
      <c r="F112" s="578" t="s">
        <v>1070</v>
      </c>
      <c r="G112" s="576" t="s">
        <v>243</v>
      </c>
      <c r="H112" s="562" t="s">
        <v>294</v>
      </c>
      <c r="I112" s="582" t="s">
        <v>751</v>
      </c>
      <c r="J112" s="570"/>
      <c r="K112" s="571"/>
      <c r="L112" s="572"/>
      <c r="M112" s="343"/>
    </row>
    <row r="113" spans="1:13" ht="37.5" customHeight="1">
      <c r="A113" s="382">
        <v>110</v>
      </c>
      <c r="B113" s="377">
        <v>41764</v>
      </c>
      <c r="C113" s="152" t="s">
        <v>491</v>
      </c>
      <c r="D113" s="340" t="s">
        <v>492</v>
      </c>
      <c r="E113" s="155">
        <v>1952</v>
      </c>
      <c r="F113" s="158" t="s">
        <v>207</v>
      </c>
      <c r="G113" s="340" t="s">
        <v>208</v>
      </c>
      <c r="H113" s="154" t="s">
        <v>294</v>
      </c>
      <c r="I113" s="359" t="s">
        <v>313</v>
      </c>
      <c r="J113" s="249"/>
      <c r="K113" s="245"/>
      <c r="L113" s="240"/>
      <c r="M113" s="343"/>
    </row>
    <row r="114" spans="1:13" ht="37.5" customHeight="1">
      <c r="A114" s="382">
        <v>111</v>
      </c>
      <c r="B114" s="377">
        <v>41764</v>
      </c>
      <c r="C114" s="152" t="s">
        <v>493</v>
      </c>
      <c r="D114" s="340" t="s">
        <v>451</v>
      </c>
      <c r="E114" s="155">
        <v>304.52</v>
      </c>
      <c r="F114" s="154"/>
      <c r="G114" s="340" t="s">
        <v>430</v>
      </c>
      <c r="H114" s="154" t="s">
        <v>294</v>
      </c>
      <c r="I114" t="s">
        <v>431</v>
      </c>
      <c r="J114" s="249">
        <f>'GIORNALE DELLE ENTRATE'!E60</f>
        <v>4.13</v>
      </c>
      <c r="K114" s="245">
        <f>E114-J114</f>
        <v>300.39</v>
      </c>
      <c r="L114" s="240"/>
      <c r="M114" s="343"/>
    </row>
    <row r="115" spans="1:13" ht="37.5" customHeight="1">
      <c r="A115" s="382">
        <v>112</v>
      </c>
      <c r="B115" s="377">
        <v>41766</v>
      </c>
      <c r="C115" s="152" t="s">
        <v>627</v>
      </c>
      <c r="D115" s="154" t="s">
        <v>333</v>
      </c>
      <c r="E115" s="155">
        <v>1022.89</v>
      </c>
      <c r="F115" s="154"/>
      <c r="G115" s="340" t="s">
        <v>430</v>
      </c>
      <c r="H115" s="154" t="s">
        <v>294</v>
      </c>
      <c r="I115" s="359" t="s">
        <v>494</v>
      </c>
      <c r="J115" s="249">
        <f>'GIORNALE DELLE ENTRATE'!E55+'GIORNALE DELLE ENTRATE'!E56+'GIORNALE DELLE ENTRATE'!E57+'GIORNALE DELLE ENTRATE'!E54</f>
        <v>3606.5699999999997</v>
      </c>
      <c r="K115" s="245">
        <f>E115-J115+E116</f>
        <v>-2583.23</v>
      </c>
      <c r="L115" s="240"/>
      <c r="M115" s="343"/>
    </row>
    <row r="116" spans="1:13" ht="37.5" customHeight="1">
      <c r="A116" s="382">
        <v>113</v>
      </c>
      <c r="B116" s="377">
        <v>41766</v>
      </c>
      <c r="C116" s="152" t="s">
        <v>628</v>
      </c>
      <c r="D116" s="154" t="s">
        <v>333</v>
      </c>
      <c r="E116" s="155">
        <v>0.45</v>
      </c>
      <c r="F116" s="154"/>
      <c r="G116" s="340" t="s">
        <v>430</v>
      </c>
      <c r="H116" s="154" t="s">
        <v>294</v>
      </c>
      <c r="I116" s="359" t="s">
        <v>494</v>
      </c>
      <c r="J116" s="249"/>
      <c r="K116" s="245"/>
      <c r="L116" s="240"/>
      <c r="M116" s="343"/>
    </row>
    <row r="117" spans="1:13" ht="37.5" customHeight="1">
      <c r="A117" s="382">
        <v>114</v>
      </c>
      <c r="B117" s="377">
        <v>41766</v>
      </c>
      <c r="C117" s="152" t="s">
        <v>629</v>
      </c>
      <c r="D117" s="340" t="s">
        <v>284</v>
      </c>
      <c r="E117" s="155">
        <v>195.8</v>
      </c>
      <c r="F117" s="154"/>
      <c r="G117" s="340" t="s">
        <v>430</v>
      </c>
      <c r="H117" s="154" t="s">
        <v>294</v>
      </c>
      <c r="I117" s="359" t="s">
        <v>494</v>
      </c>
      <c r="J117" s="249"/>
      <c r="K117" s="245"/>
      <c r="L117" s="240"/>
      <c r="M117" s="343"/>
    </row>
    <row r="118" spans="1:13" ht="37.5" customHeight="1">
      <c r="A118" s="382">
        <v>115</v>
      </c>
      <c r="B118" s="377">
        <v>41766</v>
      </c>
      <c r="C118" s="152" t="s">
        <v>630</v>
      </c>
      <c r="D118" s="340" t="s">
        <v>284</v>
      </c>
      <c r="E118" s="155">
        <v>8.26</v>
      </c>
      <c r="F118" s="154"/>
      <c r="G118" s="340" t="s">
        <v>430</v>
      </c>
      <c r="H118" s="154" t="s">
        <v>294</v>
      </c>
      <c r="I118" s="359" t="s">
        <v>494</v>
      </c>
      <c r="J118" s="249"/>
      <c r="K118" s="245"/>
      <c r="L118" s="240"/>
      <c r="M118" s="343"/>
    </row>
    <row r="119" spans="1:13" ht="37.5" customHeight="1">
      <c r="A119" s="382">
        <v>116</v>
      </c>
      <c r="B119" s="377">
        <v>41766</v>
      </c>
      <c r="C119" s="152" t="s">
        <v>495</v>
      </c>
      <c r="D119" s="340" t="s">
        <v>371</v>
      </c>
      <c r="E119" s="155">
        <v>554.22</v>
      </c>
      <c r="F119" s="158" t="s">
        <v>262</v>
      </c>
      <c r="G119" s="340" t="s">
        <v>263</v>
      </c>
      <c r="H119" s="154" t="s">
        <v>294</v>
      </c>
      <c r="I119" s="359" t="s">
        <v>370</v>
      </c>
      <c r="J119" s="249"/>
      <c r="K119" s="245"/>
      <c r="L119" s="240"/>
      <c r="M119" s="343"/>
    </row>
    <row r="120" spans="1:13" ht="37.5" customHeight="1">
      <c r="A120" s="382">
        <v>117</v>
      </c>
      <c r="B120" s="377">
        <v>41766</v>
      </c>
      <c r="C120" s="152" t="s">
        <v>689</v>
      </c>
      <c r="D120" s="340" t="s">
        <v>599</v>
      </c>
      <c r="E120" s="155">
        <v>50</v>
      </c>
      <c r="F120" s="158" t="s">
        <v>262</v>
      </c>
      <c r="G120" s="340" t="s">
        <v>263</v>
      </c>
      <c r="H120" s="154" t="s">
        <v>294</v>
      </c>
      <c r="I120" s="359" t="s">
        <v>370</v>
      </c>
      <c r="J120" s="249"/>
      <c r="K120" s="245"/>
      <c r="L120" s="240"/>
      <c r="M120" s="343"/>
    </row>
    <row r="121" spans="1:13" ht="37.5" customHeight="1">
      <c r="A121" s="382">
        <v>118</v>
      </c>
      <c r="B121" s="377">
        <v>41766</v>
      </c>
      <c r="C121" s="364" t="s">
        <v>552</v>
      </c>
      <c r="D121" s="340" t="s">
        <v>334</v>
      </c>
      <c r="E121" s="155">
        <v>18.4</v>
      </c>
      <c r="F121" s="158" t="s">
        <v>141</v>
      </c>
      <c r="G121" s="159" t="s">
        <v>142</v>
      </c>
      <c r="H121" s="154" t="s">
        <v>294</v>
      </c>
      <c r="I121" s="359" t="s">
        <v>366</v>
      </c>
      <c r="J121" s="249"/>
      <c r="K121" s="245"/>
      <c r="L121" s="240"/>
      <c r="M121" s="343"/>
    </row>
    <row r="122" spans="1:13" s="188" customFormat="1" ht="37.5" customHeight="1">
      <c r="A122" s="382">
        <v>119</v>
      </c>
      <c r="B122" s="377">
        <v>41766</v>
      </c>
      <c r="C122" s="364" t="s">
        <v>553</v>
      </c>
      <c r="D122" s="340" t="s">
        <v>551</v>
      </c>
      <c r="E122" s="155">
        <v>43.7</v>
      </c>
      <c r="F122" s="158" t="s">
        <v>207</v>
      </c>
      <c r="G122" s="340" t="s">
        <v>208</v>
      </c>
      <c r="H122" s="154" t="s">
        <v>294</v>
      </c>
      <c r="I122" s="359" t="s">
        <v>357</v>
      </c>
      <c r="J122" s="249"/>
      <c r="K122" s="245"/>
      <c r="L122" s="240"/>
      <c r="M122" s="343"/>
    </row>
    <row r="123" spans="1:13" ht="37.5" customHeight="1">
      <c r="A123" s="382">
        <v>120</v>
      </c>
      <c r="B123" s="574">
        <v>41766</v>
      </c>
      <c r="C123" s="575" t="s">
        <v>757</v>
      </c>
      <c r="D123" s="576" t="s">
        <v>856</v>
      </c>
      <c r="E123" s="577">
        <v>500</v>
      </c>
      <c r="F123" s="578" t="s">
        <v>262</v>
      </c>
      <c r="G123" s="576" t="s">
        <v>263</v>
      </c>
      <c r="H123" s="562" t="s">
        <v>294</v>
      </c>
      <c r="I123" s="582" t="s">
        <v>751</v>
      </c>
      <c r="J123" s="570"/>
      <c r="K123" s="571"/>
      <c r="L123" s="572"/>
      <c r="M123" s="343"/>
    </row>
    <row r="124" spans="1:13" ht="37.5" customHeight="1">
      <c r="A124" s="382">
        <v>121</v>
      </c>
      <c r="B124" s="574">
        <v>41766</v>
      </c>
      <c r="C124" s="575" t="s">
        <v>858</v>
      </c>
      <c r="D124" s="576" t="s">
        <v>857</v>
      </c>
      <c r="E124" s="577">
        <v>500</v>
      </c>
      <c r="F124" s="578" t="s">
        <v>262</v>
      </c>
      <c r="G124" s="576" t="s">
        <v>263</v>
      </c>
      <c r="H124" s="562" t="s">
        <v>294</v>
      </c>
      <c r="I124" s="582" t="s">
        <v>751</v>
      </c>
      <c r="J124" s="570"/>
      <c r="K124" s="571"/>
      <c r="L124" s="572"/>
      <c r="M124" s="343"/>
    </row>
    <row r="125" spans="1:13" ht="37.5" customHeight="1">
      <c r="A125" s="382">
        <v>122</v>
      </c>
      <c r="B125" s="574">
        <v>41766</v>
      </c>
      <c r="C125" s="575" t="s">
        <v>860</v>
      </c>
      <c r="D125" s="576" t="s">
        <v>859</v>
      </c>
      <c r="E125" s="577">
        <v>500</v>
      </c>
      <c r="F125" s="578" t="s">
        <v>262</v>
      </c>
      <c r="G125" s="576" t="s">
        <v>263</v>
      </c>
      <c r="H125" s="562" t="s">
        <v>294</v>
      </c>
      <c r="I125" s="582" t="s">
        <v>751</v>
      </c>
      <c r="J125" s="570"/>
      <c r="K125" s="571"/>
      <c r="L125" s="572"/>
      <c r="M125" s="343"/>
    </row>
    <row r="126" spans="1:13" ht="37.5" customHeight="1">
      <c r="A126" s="382">
        <v>123</v>
      </c>
      <c r="B126" s="574">
        <v>41766</v>
      </c>
      <c r="C126" s="575" t="s">
        <v>862</v>
      </c>
      <c r="D126" s="576" t="s">
        <v>861</v>
      </c>
      <c r="E126" s="577">
        <v>500</v>
      </c>
      <c r="F126" s="578" t="s">
        <v>262</v>
      </c>
      <c r="G126" s="576" t="s">
        <v>263</v>
      </c>
      <c r="H126" s="562" t="s">
        <v>294</v>
      </c>
      <c r="I126" s="582" t="s">
        <v>751</v>
      </c>
      <c r="J126" s="570"/>
      <c r="K126" s="571"/>
      <c r="L126" s="572"/>
      <c r="M126" s="343"/>
    </row>
    <row r="127" spans="1:13" ht="37.5" customHeight="1">
      <c r="A127" s="382">
        <v>124</v>
      </c>
      <c r="B127" s="574">
        <v>41766</v>
      </c>
      <c r="C127" s="575" t="s">
        <v>864</v>
      </c>
      <c r="D127" s="576" t="s">
        <v>863</v>
      </c>
      <c r="E127" s="577">
        <v>500</v>
      </c>
      <c r="F127" s="578" t="s">
        <v>262</v>
      </c>
      <c r="G127" s="576" t="s">
        <v>263</v>
      </c>
      <c r="H127" s="562" t="s">
        <v>294</v>
      </c>
      <c r="I127" s="582" t="s">
        <v>751</v>
      </c>
      <c r="J127" s="570"/>
      <c r="K127" s="571"/>
      <c r="L127" s="572"/>
      <c r="M127" s="343"/>
    </row>
    <row r="128" spans="1:13" ht="37.5" customHeight="1">
      <c r="A128" s="382">
        <v>125</v>
      </c>
      <c r="B128" s="574">
        <v>41766</v>
      </c>
      <c r="C128" s="575" t="s">
        <v>758</v>
      </c>
      <c r="D128" s="576" t="s">
        <v>865</v>
      </c>
      <c r="E128" s="577">
        <v>500</v>
      </c>
      <c r="F128" s="578" t="s">
        <v>262</v>
      </c>
      <c r="G128" s="576" t="s">
        <v>263</v>
      </c>
      <c r="H128" s="562" t="s">
        <v>294</v>
      </c>
      <c r="I128" s="582" t="s">
        <v>751</v>
      </c>
      <c r="J128" s="570"/>
      <c r="K128" s="571"/>
      <c r="L128" s="572"/>
      <c r="M128" s="188"/>
    </row>
    <row r="129" spans="1:13" ht="37.5" customHeight="1">
      <c r="A129" s="382">
        <v>126</v>
      </c>
      <c r="B129" s="574">
        <v>41766</v>
      </c>
      <c r="C129" s="575" t="s">
        <v>867</v>
      </c>
      <c r="D129" s="576" t="s">
        <v>866</v>
      </c>
      <c r="E129" s="577">
        <v>500</v>
      </c>
      <c r="F129" s="578" t="s">
        <v>262</v>
      </c>
      <c r="G129" s="576" t="s">
        <v>263</v>
      </c>
      <c r="H129" s="562" t="s">
        <v>294</v>
      </c>
      <c r="I129" s="582" t="s">
        <v>751</v>
      </c>
      <c r="J129" s="570"/>
      <c r="K129" s="571"/>
      <c r="L129" s="572"/>
      <c r="M129" s="343"/>
    </row>
    <row r="130" spans="1:13" ht="37.5" customHeight="1">
      <c r="A130" s="382">
        <v>127</v>
      </c>
      <c r="B130" s="574">
        <v>41766</v>
      </c>
      <c r="C130" s="575" t="s">
        <v>759</v>
      </c>
      <c r="D130" s="576" t="s">
        <v>868</v>
      </c>
      <c r="E130" s="577">
        <v>500</v>
      </c>
      <c r="F130" s="578" t="s">
        <v>262</v>
      </c>
      <c r="G130" s="576" t="s">
        <v>263</v>
      </c>
      <c r="H130" s="562" t="s">
        <v>294</v>
      </c>
      <c r="I130" s="582" t="s">
        <v>751</v>
      </c>
      <c r="J130" s="570"/>
      <c r="K130" s="571"/>
      <c r="L130" s="572"/>
      <c r="M130" s="343"/>
    </row>
    <row r="131" spans="1:12" ht="37.5" customHeight="1">
      <c r="A131" s="382">
        <v>128</v>
      </c>
      <c r="B131" s="574">
        <v>41766</v>
      </c>
      <c r="C131" s="575" t="s">
        <v>760</v>
      </c>
      <c r="D131" s="576" t="s">
        <v>869</v>
      </c>
      <c r="E131" s="577">
        <v>500</v>
      </c>
      <c r="F131" s="578" t="s">
        <v>262</v>
      </c>
      <c r="G131" s="576" t="s">
        <v>263</v>
      </c>
      <c r="H131" s="562" t="s">
        <v>294</v>
      </c>
      <c r="I131" s="582" t="s">
        <v>751</v>
      </c>
      <c r="J131" s="570"/>
      <c r="K131" s="571"/>
      <c r="L131" s="572"/>
    </row>
    <row r="132" spans="1:12" ht="37.5" customHeight="1">
      <c r="A132" s="382">
        <v>129</v>
      </c>
      <c r="B132" s="574">
        <v>41766</v>
      </c>
      <c r="C132" s="575" t="s">
        <v>761</v>
      </c>
      <c r="D132" s="576" t="s">
        <v>870</v>
      </c>
      <c r="E132" s="577">
        <v>500</v>
      </c>
      <c r="F132" s="578" t="s">
        <v>262</v>
      </c>
      <c r="G132" s="576" t="s">
        <v>263</v>
      </c>
      <c r="H132" s="562" t="s">
        <v>294</v>
      </c>
      <c r="I132" s="582" t="s">
        <v>751</v>
      </c>
      <c r="J132" s="570"/>
      <c r="K132" s="571"/>
      <c r="L132" s="572"/>
    </row>
    <row r="133" spans="1:12" ht="37.5" customHeight="1">
      <c r="A133" s="382">
        <v>130</v>
      </c>
      <c r="B133" s="574">
        <v>41766</v>
      </c>
      <c r="C133" s="575" t="s">
        <v>762</v>
      </c>
      <c r="D133" s="576" t="s">
        <v>871</v>
      </c>
      <c r="E133" s="577">
        <v>140</v>
      </c>
      <c r="F133" s="578" t="s">
        <v>262</v>
      </c>
      <c r="G133" s="576" t="s">
        <v>263</v>
      </c>
      <c r="H133" s="562" t="s">
        <v>294</v>
      </c>
      <c r="I133" s="582" t="s">
        <v>751</v>
      </c>
      <c r="J133" s="570"/>
      <c r="K133" s="571"/>
      <c r="L133" s="572"/>
    </row>
    <row r="134" spans="1:12" ht="37.5" customHeight="1">
      <c r="A134" s="382">
        <v>131</v>
      </c>
      <c r="B134" s="574">
        <v>41766</v>
      </c>
      <c r="C134" s="575" t="s">
        <v>763</v>
      </c>
      <c r="D134" s="576" t="s">
        <v>872</v>
      </c>
      <c r="E134" s="577">
        <v>336.8</v>
      </c>
      <c r="F134" s="578" t="s">
        <v>262</v>
      </c>
      <c r="G134" s="576" t="s">
        <v>263</v>
      </c>
      <c r="H134" s="562" t="s">
        <v>294</v>
      </c>
      <c r="I134" s="582" t="s">
        <v>751</v>
      </c>
      <c r="J134" s="570"/>
      <c r="K134" s="571"/>
      <c r="L134" s="572"/>
    </row>
    <row r="135" spans="1:12" ht="37.5" customHeight="1">
      <c r="A135" s="382">
        <v>132</v>
      </c>
      <c r="B135" s="574">
        <v>41766</v>
      </c>
      <c r="C135" s="575" t="s">
        <v>764</v>
      </c>
      <c r="D135" s="576" t="s">
        <v>873</v>
      </c>
      <c r="E135" s="577">
        <v>561</v>
      </c>
      <c r="F135" s="578" t="s">
        <v>262</v>
      </c>
      <c r="G135" s="576" t="s">
        <v>263</v>
      </c>
      <c r="H135" s="562" t="s">
        <v>294</v>
      </c>
      <c r="I135" s="582" t="s">
        <v>751</v>
      </c>
      <c r="J135" s="570"/>
      <c r="K135" s="571"/>
      <c r="L135" s="572"/>
    </row>
    <row r="136" spans="1:12" ht="37.5" customHeight="1">
      <c r="A136" s="382">
        <v>133</v>
      </c>
      <c r="B136" s="574">
        <v>41766</v>
      </c>
      <c r="C136" s="575" t="s">
        <v>765</v>
      </c>
      <c r="D136" s="576" t="s">
        <v>874</v>
      </c>
      <c r="E136" s="577">
        <v>500</v>
      </c>
      <c r="F136" s="578" t="s">
        <v>262</v>
      </c>
      <c r="G136" s="576" t="s">
        <v>263</v>
      </c>
      <c r="H136" s="562" t="s">
        <v>294</v>
      </c>
      <c r="I136" s="582" t="s">
        <v>751</v>
      </c>
      <c r="J136" s="570"/>
      <c r="K136" s="571"/>
      <c r="L136" s="572"/>
    </row>
    <row r="137" spans="1:12" ht="37.5" customHeight="1">
      <c r="A137" s="382">
        <v>134</v>
      </c>
      <c r="B137" s="574">
        <v>41766</v>
      </c>
      <c r="C137" s="575" t="s">
        <v>766</v>
      </c>
      <c r="D137" s="576" t="s">
        <v>876</v>
      </c>
      <c r="E137" s="577">
        <v>500</v>
      </c>
      <c r="F137" s="578" t="s">
        <v>262</v>
      </c>
      <c r="G137" s="576" t="s">
        <v>263</v>
      </c>
      <c r="H137" s="562" t="s">
        <v>294</v>
      </c>
      <c r="I137" s="582" t="s">
        <v>751</v>
      </c>
      <c r="J137" s="570"/>
      <c r="K137" s="571"/>
      <c r="L137" s="572"/>
    </row>
    <row r="138" spans="1:12" ht="37.5" customHeight="1">
      <c r="A138" s="382">
        <v>135</v>
      </c>
      <c r="B138" s="574">
        <v>41766</v>
      </c>
      <c r="C138" s="575" t="s">
        <v>767</v>
      </c>
      <c r="D138" s="576" t="s">
        <v>875</v>
      </c>
      <c r="E138" s="577">
        <v>500</v>
      </c>
      <c r="F138" s="578" t="s">
        <v>262</v>
      </c>
      <c r="G138" s="576" t="s">
        <v>263</v>
      </c>
      <c r="H138" s="562" t="s">
        <v>294</v>
      </c>
      <c r="I138" s="582" t="s">
        <v>751</v>
      </c>
      <c r="J138" s="570"/>
      <c r="K138" s="571"/>
      <c r="L138" s="572"/>
    </row>
    <row r="139" spans="1:12" ht="37.5" customHeight="1">
      <c r="A139" s="382">
        <v>136</v>
      </c>
      <c r="B139" s="574">
        <v>41766</v>
      </c>
      <c r="C139" s="575" t="s">
        <v>768</v>
      </c>
      <c r="D139" s="576" t="s">
        <v>877</v>
      </c>
      <c r="E139" s="577">
        <v>500</v>
      </c>
      <c r="F139" s="578" t="s">
        <v>262</v>
      </c>
      <c r="G139" s="576" t="s">
        <v>263</v>
      </c>
      <c r="H139" s="562" t="s">
        <v>294</v>
      </c>
      <c r="I139" s="582" t="s">
        <v>751</v>
      </c>
      <c r="J139" s="570"/>
      <c r="K139" s="571"/>
      <c r="L139" s="572"/>
    </row>
    <row r="140" spans="1:12" ht="37.5" customHeight="1">
      <c r="A140" s="382">
        <v>137</v>
      </c>
      <c r="B140" s="574">
        <v>41766</v>
      </c>
      <c r="C140" s="575" t="s">
        <v>769</v>
      </c>
      <c r="D140" s="576" t="s">
        <v>878</v>
      </c>
      <c r="E140" s="577">
        <v>500</v>
      </c>
      <c r="F140" s="578" t="s">
        <v>262</v>
      </c>
      <c r="G140" s="576" t="s">
        <v>263</v>
      </c>
      <c r="H140" s="562" t="s">
        <v>294</v>
      </c>
      <c r="I140" s="582" t="s">
        <v>751</v>
      </c>
      <c r="J140" s="570"/>
      <c r="K140" s="571"/>
      <c r="L140" s="572"/>
    </row>
    <row r="141" spans="1:12" ht="37.5" customHeight="1">
      <c r="A141" s="382">
        <v>138</v>
      </c>
      <c r="B141" s="574">
        <v>41766</v>
      </c>
      <c r="C141" s="575" t="s">
        <v>770</v>
      </c>
      <c r="D141" s="576" t="s">
        <v>879</v>
      </c>
      <c r="E141" s="577">
        <v>508.83</v>
      </c>
      <c r="F141" s="578" t="s">
        <v>262</v>
      </c>
      <c r="G141" s="576" t="s">
        <v>263</v>
      </c>
      <c r="H141" s="562" t="s">
        <v>294</v>
      </c>
      <c r="I141" s="582" t="s">
        <v>751</v>
      </c>
      <c r="J141" s="570"/>
      <c r="K141" s="571"/>
      <c r="L141" s="572"/>
    </row>
    <row r="142" spans="1:12" ht="37.5" customHeight="1">
      <c r="A142" s="382">
        <v>139</v>
      </c>
      <c r="B142" s="574">
        <v>41766</v>
      </c>
      <c r="C142" s="575" t="s">
        <v>771</v>
      </c>
      <c r="D142" s="576" t="s">
        <v>880</v>
      </c>
      <c r="E142" s="577">
        <v>500</v>
      </c>
      <c r="F142" s="578" t="s">
        <v>262</v>
      </c>
      <c r="G142" s="576" t="s">
        <v>263</v>
      </c>
      <c r="H142" s="562" t="s">
        <v>294</v>
      </c>
      <c r="I142" s="582" t="s">
        <v>751</v>
      </c>
      <c r="J142" s="570"/>
      <c r="K142" s="571"/>
      <c r="L142" s="572"/>
    </row>
    <row r="143" spans="1:12" ht="37.5" customHeight="1">
      <c r="A143" s="382">
        <v>140</v>
      </c>
      <c r="B143" s="574">
        <v>41766</v>
      </c>
      <c r="C143" s="575" t="s">
        <v>772</v>
      </c>
      <c r="D143" s="576" t="s">
        <v>881</v>
      </c>
      <c r="E143" s="577">
        <v>500</v>
      </c>
      <c r="F143" s="578" t="s">
        <v>262</v>
      </c>
      <c r="G143" s="576" t="s">
        <v>263</v>
      </c>
      <c r="H143" s="562" t="s">
        <v>294</v>
      </c>
      <c r="I143" s="582" t="s">
        <v>751</v>
      </c>
      <c r="J143" s="570"/>
      <c r="K143" s="571"/>
      <c r="L143" s="572"/>
    </row>
    <row r="144" spans="1:12" ht="37.5" customHeight="1">
      <c r="A144" s="382">
        <v>141</v>
      </c>
      <c r="B144" s="574">
        <v>41766</v>
      </c>
      <c r="C144" s="575" t="s">
        <v>773</v>
      </c>
      <c r="D144" s="576" t="s">
        <v>882</v>
      </c>
      <c r="E144" s="577">
        <v>500</v>
      </c>
      <c r="F144" s="578" t="s">
        <v>262</v>
      </c>
      <c r="G144" s="576" t="s">
        <v>263</v>
      </c>
      <c r="H144" s="562" t="s">
        <v>294</v>
      </c>
      <c r="I144" s="582" t="s">
        <v>751</v>
      </c>
      <c r="J144" s="570"/>
      <c r="K144" s="571"/>
      <c r="L144" s="572"/>
    </row>
    <row r="145" spans="1:12" ht="37.5" customHeight="1">
      <c r="A145" s="382">
        <v>142</v>
      </c>
      <c r="B145" s="574">
        <v>41766</v>
      </c>
      <c r="C145" s="575" t="s">
        <v>774</v>
      </c>
      <c r="D145" s="576" t="s">
        <v>883</v>
      </c>
      <c r="E145" s="577">
        <v>500</v>
      </c>
      <c r="F145" s="578" t="s">
        <v>262</v>
      </c>
      <c r="G145" s="576" t="s">
        <v>263</v>
      </c>
      <c r="H145" s="562" t="s">
        <v>294</v>
      </c>
      <c r="I145" s="582" t="s">
        <v>751</v>
      </c>
      <c r="J145" s="570"/>
      <c r="K145" s="571"/>
      <c r="L145" s="572"/>
    </row>
    <row r="146" spans="1:12" ht="37.5" customHeight="1">
      <c r="A146" s="382">
        <v>143</v>
      </c>
      <c r="B146" s="574">
        <v>41766</v>
      </c>
      <c r="C146" s="575" t="s">
        <v>775</v>
      </c>
      <c r="D146" s="576" t="s">
        <v>884</v>
      </c>
      <c r="E146" s="577">
        <v>500</v>
      </c>
      <c r="F146" s="578" t="s">
        <v>262</v>
      </c>
      <c r="G146" s="576" t="s">
        <v>263</v>
      </c>
      <c r="H146" s="562" t="s">
        <v>294</v>
      </c>
      <c r="I146" s="582" t="s">
        <v>751</v>
      </c>
      <c r="J146" s="570"/>
      <c r="K146" s="571"/>
      <c r="L146" s="572"/>
    </row>
    <row r="147" spans="1:12" ht="37.5" customHeight="1">
      <c r="A147" s="382">
        <v>144</v>
      </c>
      <c r="B147" s="574">
        <v>41766</v>
      </c>
      <c r="C147" s="575" t="s">
        <v>776</v>
      </c>
      <c r="D147" s="576" t="s">
        <v>885</v>
      </c>
      <c r="E147" s="577">
        <v>500</v>
      </c>
      <c r="F147" s="578" t="s">
        <v>262</v>
      </c>
      <c r="G147" s="576" t="s">
        <v>263</v>
      </c>
      <c r="H147" s="562" t="s">
        <v>294</v>
      </c>
      <c r="I147" s="582" t="s">
        <v>751</v>
      </c>
      <c r="J147" s="570"/>
      <c r="K147" s="571"/>
      <c r="L147" s="572"/>
    </row>
    <row r="148" spans="1:12" ht="37.5" customHeight="1">
      <c r="A148" s="382">
        <v>145</v>
      </c>
      <c r="B148" s="574">
        <v>41766</v>
      </c>
      <c r="C148" s="575" t="s">
        <v>777</v>
      </c>
      <c r="D148" s="576" t="s">
        <v>886</v>
      </c>
      <c r="E148" s="577">
        <v>500</v>
      </c>
      <c r="F148" s="578" t="s">
        <v>262</v>
      </c>
      <c r="G148" s="576" t="s">
        <v>263</v>
      </c>
      <c r="H148" s="562" t="s">
        <v>294</v>
      </c>
      <c r="I148" s="582" t="s">
        <v>751</v>
      </c>
      <c r="J148" s="570"/>
      <c r="K148" s="571"/>
      <c r="L148" s="572"/>
    </row>
    <row r="149" spans="1:12" ht="37.5" customHeight="1">
      <c r="A149" s="382">
        <v>146</v>
      </c>
      <c r="B149" s="574">
        <v>41766</v>
      </c>
      <c r="C149" s="575" t="s">
        <v>778</v>
      </c>
      <c r="D149" s="576" t="s">
        <v>887</v>
      </c>
      <c r="E149" s="577">
        <v>500</v>
      </c>
      <c r="F149" s="578" t="s">
        <v>262</v>
      </c>
      <c r="G149" s="576" t="s">
        <v>263</v>
      </c>
      <c r="H149" s="562" t="s">
        <v>294</v>
      </c>
      <c r="I149" s="582" t="s">
        <v>751</v>
      </c>
      <c r="J149" s="570"/>
      <c r="K149" s="571"/>
      <c r="L149" s="572"/>
    </row>
    <row r="150" spans="1:12" ht="37.5" customHeight="1">
      <c r="A150" s="382">
        <v>147</v>
      </c>
      <c r="B150" s="574">
        <v>41766</v>
      </c>
      <c r="C150" s="575" t="s">
        <v>779</v>
      </c>
      <c r="D150" s="576" t="s">
        <v>888</v>
      </c>
      <c r="E150" s="577">
        <v>500</v>
      </c>
      <c r="F150" s="578" t="s">
        <v>262</v>
      </c>
      <c r="G150" s="576" t="s">
        <v>263</v>
      </c>
      <c r="H150" s="562" t="s">
        <v>294</v>
      </c>
      <c r="I150" s="582" t="s">
        <v>751</v>
      </c>
      <c r="J150" s="570"/>
      <c r="K150" s="571"/>
      <c r="L150" s="572"/>
    </row>
    <row r="151" spans="1:12" ht="37.5" customHeight="1">
      <c r="A151" s="382">
        <v>148</v>
      </c>
      <c r="B151" s="574">
        <v>41766</v>
      </c>
      <c r="C151" s="575" t="s">
        <v>780</v>
      </c>
      <c r="D151" s="576" t="s">
        <v>890</v>
      </c>
      <c r="E151" s="577">
        <v>500</v>
      </c>
      <c r="F151" s="578" t="s">
        <v>262</v>
      </c>
      <c r="G151" s="576" t="s">
        <v>263</v>
      </c>
      <c r="H151" s="562" t="s">
        <v>294</v>
      </c>
      <c r="I151" s="582" t="s">
        <v>751</v>
      </c>
      <c r="J151" s="570"/>
      <c r="K151" s="571"/>
      <c r="L151" s="572"/>
    </row>
    <row r="152" spans="1:12" ht="37.5" customHeight="1">
      <c r="A152" s="382">
        <v>149</v>
      </c>
      <c r="B152" s="377">
        <v>41767</v>
      </c>
      <c r="C152" s="152" t="s">
        <v>496</v>
      </c>
      <c r="D152" s="340" t="s">
        <v>497</v>
      </c>
      <c r="E152" s="155">
        <v>2800</v>
      </c>
      <c r="F152" s="158" t="s">
        <v>207</v>
      </c>
      <c r="G152" s="340" t="s">
        <v>208</v>
      </c>
      <c r="H152" s="154" t="s">
        <v>294</v>
      </c>
      <c r="I152" s="359" t="s">
        <v>360</v>
      </c>
      <c r="J152" s="249">
        <f>'GIORNALE DELLE ENTRATE'!$E$61</f>
        <v>195.8</v>
      </c>
      <c r="K152" s="245">
        <f>E152-J152</f>
        <v>2604.2</v>
      </c>
      <c r="L152" s="240"/>
    </row>
    <row r="153" spans="1:12" ht="37.5" customHeight="1">
      <c r="A153" s="382">
        <v>150</v>
      </c>
      <c r="B153" s="574">
        <v>41767</v>
      </c>
      <c r="C153" s="575" t="s">
        <v>781</v>
      </c>
      <c r="D153" s="576" t="s">
        <v>889</v>
      </c>
      <c r="E153" s="577">
        <v>3060</v>
      </c>
      <c r="F153" s="578" t="s">
        <v>262</v>
      </c>
      <c r="G153" s="576" t="s">
        <v>263</v>
      </c>
      <c r="H153" s="562" t="s">
        <v>294</v>
      </c>
      <c r="I153" s="582" t="s">
        <v>751</v>
      </c>
      <c r="J153" s="570"/>
      <c r="K153" s="571"/>
      <c r="L153" s="572"/>
    </row>
    <row r="154" spans="1:12" ht="37.5" customHeight="1">
      <c r="A154" s="382">
        <v>151</v>
      </c>
      <c r="B154" s="574">
        <v>41767</v>
      </c>
      <c r="C154" s="575" t="s">
        <v>782</v>
      </c>
      <c r="D154" s="576" t="s">
        <v>891</v>
      </c>
      <c r="E154" s="577">
        <v>500</v>
      </c>
      <c r="F154" s="578" t="s">
        <v>262</v>
      </c>
      <c r="G154" s="576" t="s">
        <v>263</v>
      </c>
      <c r="H154" s="562" t="s">
        <v>294</v>
      </c>
      <c r="I154" s="582" t="s">
        <v>751</v>
      </c>
      <c r="J154" s="570"/>
      <c r="K154" s="571"/>
      <c r="L154" s="572"/>
    </row>
    <row r="155" spans="1:12" ht="37.5" customHeight="1">
      <c r="A155" s="382">
        <v>152</v>
      </c>
      <c r="B155" s="574">
        <v>41767</v>
      </c>
      <c r="C155" s="575" t="s">
        <v>783</v>
      </c>
      <c r="D155" s="576" t="s">
        <v>892</v>
      </c>
      <c r="E155" s="577">
        <v>500</v>
      </c>
      <c r="F155" s="578" t="s">
        <v>262</v>
      </c>
      <c r="G155" s="576" t="s">
        <v>263</v>
      </c>
      <c r="H155" s="562" t="s">
        <v>294</v>
      </c>
      <c r="I155" s="582" t="s">
        <v>751</v>
      </c>
      <c r="J155" s="570"/>
      <c r="K155" s="571"/>
      <c r="L155" s="572"/>
    </row>
    <row r="156" spans="1:12" s="188" customFormat="1" ht="37.5" customHeight="1">
      <c r="A156" s="382">
        <v>153</v>
      </c>
      <c r="B156" s="574">
        <v>41767</v>
      </c>
      <c r="C156" s="575" t="s">
        <v>784</v>
      </c>
      <c r="D156" s="576" t="s">
        <v>893</v>
      </c>
      <c r="E156" s="577">
        <v>500</v>
      </c>
      <c r="F156" s="578" t="s">
        <v>262</v>
      </c>
      <c r="G156" s="576" t="s">
        <v>263</v>
      </c>
      <c r="H156" s="562" t="s">
        <v>294</v>
      </c>
      <c r="I156" s="582" t="s">
        <v>751</v>
      </c>
      <c r="J156" s="570"/>
      <c r="K156" s="571"/>
      <c r="L156" s="572"/>
    </row>
    <row r="157" spans="1:12" s="188" customFormat="1" ht="37.5" customHeight="1">
      <c r="A157" s="382">
        <v>154</v>
      </c>
      <c r="B157" s="574">
        <v>41767</v>
      </c>
      <c r="C157" s="575" t="s">
        <v>785</v>
      </c>
      <c r="D157" s="576" t="s">
        <v>894</v>
      </c>
      <c r="E157" s="577">
        <v>500</v>
      </c>
      <c r="F157" s="578" t="s">
        <v>262</v>
      </c>
      <c r="G157" s="576" t="s">
        <v>263</v>
      </c>
      <c r="H157" s="562" t="s">
        <v>294</v>
      </c>
      <c r="I157" s="582" t="s">
        <v>751</v>
      </c>
      <c r="J157" s="570"/>
      <c r="K157" s="571"/>
      <c r="L157" s="572"/>
    </row>
    <row r="158" spans="1:12" s="188" customFormat="1" ht="37.5" customHeight="1">
      <c r="A158" s="382">
        <v>155</v>
      </c>
      <c r="B158" s="574">
        <v>41767</v>
      </c>
      <c r="C158" s="575" t="s">
        <v>786</v>
      </c>
      <c r="D158" s="576" t="s">
        <v>895</v>
      </c>
      <c r="E158" s="577">
        <v>500</v>
      </c>
      <c r="F158" s="578" t="s">
        <v>262</v>
      </c>
      <c r="G158" s="576" t="s">
        <v>263</v>
      </c>
      <c r="H158" s="562" t="s">
        <v>294</v>
      </c>
      <c r="I158" s="582" t="s">
        <v>751</v>
      </c>
      <c r="J158" s="570"/>
      <c r="K158" s="571"/>
      <c r="L158" s="572"/>
    </row>
    <row r="159" spans="1:12" ht="37.5" customHeight="1">
      <c r="A159" s="382">
        <v>156</v>
      </c>
      <c r="B159" s="574">
        <v>41767</v>
      </c>
      <c r="C159" s="575" t="s">
        <v>787</v>
      </c>
      <c r="D159" s="576" t="s">
        <v>896</v>
      </c>
      <c r="E159" s="577">
        <v>500</v>
      </c>
      <c r="F159" s="578" t="s">
        <v>262</v>
      </c>
      <c r="G159" s="576" t="s">
        <v>263</v>
      </c>
      <c r="H159" s="562" t="s">
        <v>294</v>
      </c>
      <c r="I159" s="582" t="s">
        <v>751</v>
      </c>
      <c r="J159" s="570"/>
      <c r="K159" s="571"/>
      <c r="L159" s="572"/>
    </row>
    <row r="160" spans="1:12" ht="37.5" customHeight="1">
      <c r="A160" s="382">
        <v>157</v>
      </c>
      <c r="B160" s="574">
        <v>41767</v>
      </c>
      <c r="C160" s="575" t="s">
        <v>788</v>
      </c>
      <c r="D160" s="576" t="s">
        <v>897</v>
      </c>
      <c r="E160" s="577">
        <v>500</v>
      </c>
      <c r="F160" s="578" t="s">
        <v>262</v>
      </c>
      <c r="G160" s="576" t="s">
        <v>263</v>
      </c>
      <c r="H160" s="562" t="s">
        <v>294</v>
      </c>
      <c r="I160" s="582" t="s">
        <v>751</v>
      </c>
      <c r="J160" s="570"/>
      <c r="K160" s="571"/>
      <c r="L160" s="572"/>
    </row>
    <row r="161" spans="1:12" ht="37.5" customHeight="1">
      <c r="A161" s="382">
        <v>158</v>
      </c>
      <c r="B161" s="574">
        <v>41767</v>
      </c>
      <c r="C161" s="575" t="s">
        <v>789</v>
      </c>
      <c r="D161" s="576" t="s">
        <v>898</v>
      </c>
      <c r="E161" s="577">
        <v>500</v>
      </c>
      <c r="F161" s="578" t="s">
        <v>262</v>
      </c>
      <c r="G161" s="576" t="s">
        <v>263</v>
      </c>
      <c r="H161" s="562" t="s">
        <v>294</v>
      </c>
      <c r="I161" s="582" t="s">
        <v>751</v>
      </c>
      <c r="J161" s="570"/>
      <c r="K161" s="571"/>
      <c r="L161" s="572"/>
    </row>
    <row r="162" spans="1:12" ht="37.5" customHeight="1">
      <c r="A162" s="382">
        <v>159</v>
      </c>
      <c r="B162" s="574">
        <v>41767</v>
      </c>
      <c r="C162" s="575" t="s">
        <v>790</v>
      </c>
      <c r="D162" s="576" t="s">
        <v>899</v>
      </c>
      <c r="E162" s="577">
        <v>420</v>
      </c>
      <c r="F162" s="578" t="s">
        <v>262</v>
      </c>
      <c r="G162" s="576" t="s">
        <v>263</v>
      </c>
      <c r="H162" s="562" t="s">
        <v>294</v>
      </c>
      <c r="I162" s="582" t="s">
        <v>751</v>
      </c>
      <c r="J162" s="570"/>
      <c r="K162" s="571"/>
      <c r="L162" s="572"/>
    </row>
    <row r="163" spans="1:12" ht="37.5" customHeight="1">
      <c r="A163" s="382">
        <v>160</v>
      </c>
      <c r="B163" s="574">
        <v>41767</v>
      </c>
      <c r="C163" s="575" t="s">
        <v>791</v>
      </c>
      <c r="D163" s="576" t="s">
        <v>900</v>
      </c>
      <c r="E163" s="577">
        <v>508.83</v>
      </c>
      <c r="F163" s="578" t="s">
        <v>262</v>
      </c>
      <c r="G163" s="576" t="s">
        <v>263</v>
      </c>
      <c r="H163" s="562" t="s">
        <v>294</v>
      </c>
      <c r="I163" s="582" t="s">
        <v>751</v>
      </c>
      <c r="J163" s="570"/>
      <c r="K163" s="571"/>
      <c r="L163" s="572"/>
    </row>
    <row r="164" spans="1:12" ht="37.5" customHeight="1">
      <c r="A164" s="382">
        <v>161</v>
      </c>
      <c r="B164" s="574">
        <v>41767</v>
      </c>
      <c r="C164" s="575" t="s">
        <v>792</v>
      </c>
      <c r="D164" s="576" t="s">
        <v>901</v>
      </c>
      <c r="E164" s="577">
        <v>500</v>
      </c>
      <c r="F164" s="578" t="s">
        <v>262</v>
      </c>
      <c r="G164" s="576" t="s">
        <v>263</v>
      </c>
      <c r="H164" s="562" t="s">
        <v>294</v>
      </c>
      <c r="I164" s="582" t="s">
        <v>751</v>
      </c>
      <c r="J164" s="570"/>
      <c r="K164" s="571"/>
      <c r="L164" s="572"/>
    </row>
    <row r="165" spans="1:12" ht="37.5" customHeight="1">
      <c r="A165" s="382">
        <v>162</v>
      </c>
      <c r="B165" s="574">
        <v>41767</v>
      </c>
      <c r="C165" s="575" t="s">
        <v>793</v>
      </c>
      <c r="D165" s="576" t="s">
        <v>902</v>
      </c>
      <c r="E165" s="577">
        <v>790.69</v>
      </c>
      <c r="F165" s="578" t="s">
        <v>262</v>
      </c>
      <c r="G165" s="576" t="s">
        <v>263</v>
      </c>
      <c r="H165" s="562" t="s">
        <v>294</v>
      </c>
      <c r="I165" s="582" t="s">
        <v>751</v>
      </c>
      <c r="J165" s="570"/>
      <c r="K165" s="571"/>
      <c r="L165" s="572"/>
    </row>
    <row r="166" spans="1:12" ht="37.5" customHeight="1">
      <c r="A166" s="382">
        <v>163</v>
      </c>
      <c r="B166" s="574">
        <v>41767</v>
      </c>
      <c r="C166" s="575" t="s">
        <v>794</v>
      </c>
      <c r="D166" s="576" t="s">
        <v>903</v>
      </c>
      <c r="E166" s="577">
        <v>495.8</v>
      </c>
      <c r="F166" s="578" t="s">
        <v>262</v>
      </c>
      <c r="G166" s="576" t="s">
        <v>263</v>
      </c>
      <c r="H166" s="562" t="s">
        <v>294</v>
      </c>
      <c r="I166" s="582" t="s">
        <v>751</v>
      </c>
      <c r="J166" s="570"/>
      <c r="K166" s="571"/>
      <c r="L166" s="572"/>
    </row>
    <row r="167" spans="1:12" ht="37.5" customHeight="1">
      <c r="A167" s="382">
        <v>164</v>
      </c>
      <c r="B167" s="574">
        <v>41767</v>
      </c>
      <c r="C167" s="575" t="s">
        <v>795</v>
      </c>
      <c r="D167" s="576" t="s">
        <v>904</v>
      </c>
      <c r="E167" s="577">
        <v>1502.49</v>
      </c>
      <c r="F167" s="578" t="s">
        <v>262</v>
      </c>
      <c r="G167" s="576" t="s">
        <v>263</v>
      </c>
      <c r="H167" s="562" t="s">
        <v>294</v>
      </c>
      <c r="I167" s="582" t="s">
        <v>751</v>
      </c>
      <c r="J167" s="570"/>
      <c r="K167" s="571"/>
      <c r="L167" s="572"/>
    </row>
    <row r="168" spans="1:12" ht="37.5" customHeight="1">
      <c r="A168" s="382">
        <v>165</v>
      </c>
      <c r="B168" s="574">
        <v>41767</v>
      </c>
      <c r="C168" s="575" t="s">
        <v>796</v>
      </c>
      <c r="D168" s="576" t="s">
        <v>880</v>
      </c>
      <c r="E168" s="577">
        <v>530.38</v>
      </c>
      <c r="F168" s="578" t="s">
        <v>262</v>
      </c>
      <c r="G168" s="576" t="s">
        <v>263</v>
      </c>
      <c r="H168" s="562" t="s">
        <v>294</v>
      </c>
      <c r="I168" s="582" t="s">
        <v>751</v>
      </c>
      <c r="J168" s="570"/>
      <c r="K168" s="571"/>
      <c r="L168" s="572"/>
    </row>
    <row r="169" spans="1:12" ht="37.5" customHeight="1">
      <c r="A169" s="382">
        <v>166</v>
      </c>
      <c r="B169" s="574">
        <v>41767</v>
      </c>
      <c r="C169" s="575" t="s">
        <v>797</v>
      </c>
      <c r="D169" s="576" t="s">
        <v>905</v>
      </c>
      <c r="E169" s="577">
        <v>580</v>
      </c>
      <c r="F169" s="578" t="s">
        <v>262</v>
      </c>
      <c r="G169" s="576" t="s">
        <v>263</v>
      </c>
      <c r="H169" s="562" t="s">
        <v>294</v>
      </c>
      <c r="I169" s="582" t="s">
        <v>751</v>
      </c>
      <c r="J169" s="570"/>
      <c r="K169" s="571"/>
      <c r="L169" s="572"/>
    </row>
    <row r="170" spans="1:12" ht="37.5" customHeight="1">
      <c r="A170" s="382">
        <v>167</v>
      </c>
      <c r="B170" s="574">
        <v>41767</v>
      </c>
      <c r="C170" s="575" t="s">
        <v>798</v>
      </c>
      <c r="D170" s="576" t="s">
        <v>906</v>
      </c>
      <c r="E170" s="577">
        <v>686.51</v>
      </c>
      <c r="F170" s="578" t="s">
        <v>262</v>
      </c>
      <c r="G170" s="576" t="s">
        <v>263</v>
      </c>
      <c r="H170" s="562" t="s">
        <v>294</v>
      </c>
      <c r="I170" s="582" t="s">
        <v>751</v>
      </c>
      <c r="J170" s="570"/>
      <c r="K170" s="571"/>
      <c r="L170" s="572"/>
    </row>
    <row r="171" spans="1:12" ht="37.5" customHeight="1">
      <c r="A171" s="382">
        <v>168</v>
      </c>
      <c r="B171" s="574">
        <v>41768</v>
      </c>
      <c r="C171" s="575" t="s">
        <v>799</v>
      </c>
      <c r="D171" s="576" t="s">
        <v>907</v>
      </c>
      <c r="E171" s="577">
        <v>500</v>
      </c>
      <c r="F171" s="578" t="s">
        <v>262</v>
      </c>
      <c r="G171" s="576" t="s">
        <v>263</v>
      </c>
      <c r="H171" s="562" t="s">
        <v>294</v>
      </c>
      <c r="I171" s="582" t="s">
        <v>751</v>
      </c>
      <c r="J171" s="570"/>
      <c r="K171" s="571"/>
      <c r="L171" s="572"/>
    </row>
    <row r="172" spans="1:12" ht="37.5" customHeight="1">
      <c r="A172" s="382">
        <v>169</v>
      </c>
      <c r="B172" s="574">
        <v>41768</v>
      </c>
      <c r="C172" s="575" t="s">
        <v>800</v>
      </c>
      <c r="D172" s="576" t="s">
        <v>908</v>
      </c>
      <c r="E172" s="577">
        <v>500</v>
      </c>
      <c r="F172" s="578" t="s">
        <v>262</v>
      </c>
      <c r="G172" s="576" t="s">
        <v>263</v>
      </c>
      <c r="H172" s="562" t="s">
        <v>294</v>
      </c>
      <c r="I172" s="582" t="s">
        <v>751</v>
      </c>
      <c r="J172" s="570"/>
      <c r="K172" s="571"/>
      <c r="L172" s="572"/>
    </row>
    <row r="173" spans="1:12" ht="37.5" customHeight="1">
      <c r="A173" s="382">
        <v>170</v>
      </c>
      <c r="B173" s="574">
        <v>41768</v>
      </c>
      <c r="C173" s="575" t="s">
        <v>801</v>
      </c>
      <c r="D173" s="576" t="s">
        <v>897</v>
      </c>
      <c r="E173" s="577">
        <v>1161</v>
      </c>
      <c r="F173" s="578" t="s">
        <v>262</v>
      </c>
      <c r="G173" s="576" t="s">
        <v>263</v>
      </c>
      <c r="H173" s="562" t="s">
        <v>294</v>
      </c>
      <c r="I173" s="582" t="s">
        <v>751</v>
      </c>
      <c r="J173" s="570"/>
      <c r="K173" s="571"/>
      <c r="L173" s="572"/>
    </row>
    <row r="174" spans="1:12" ht="37.5" customHeight="1">
      <c r="A174" s="382">
        <v>171</v>
      </c>
      <c r="B174" s="574">
        <v>41768</v>
      </c>
      <c r="C174" s="575" t="s">
        <v>802</v>
      </c>
      <c r="D174" s="576" t="s">
        <v>909</v>
      </c>
      <c r="E174" s="577">
        <v>2234.19</v>
      </c>
      <c r="F174" s="578" t="s">
        <v>262</v>
      </c>
      <c r="G174" s="576" t="s">
        <v>263</v>
      </c>
      <c r="H174" s="562" t="s">
        <v>294</v>
      </c>
      <c r="I174" s="582" t="s">
        <v>751</v>
      </c>
      <c r="J174" s="570"/>
      <c r="K174" s="571"/>
      <c r="L174" s="572"/>
    </row>
    <row r="175" spans="1:13" ht="37.5" customHeight="1">
      <c r="A175" s="382">
        <v>172</v>
      </c>
      <c r="B175" s="563">
        <v>41768</v>
      </c>
      <c r="C175" s="564" t="s">
        <v>803</v>
      </c>
      <c r="D175" s="565" t="s">
        <v>910</v>
      </c>
      <c r="E175" s="566">
        <v>721.37</v>
      </c>
      <c r="F175" s="578" t="s">
        <v>262</v>
      </c>
      <c r="G175" s="568" t="s">
        <v>263</v>
      </c>
      <c r="H175" s="569" t="s">
        <v>294</v>
      </c>
      <c r="I175" s="568" t="s">
        <v>751</v>
      </c>
      <c r="J175" s="570"/>
      <c r="K175" s="571"/>
      <c r="L175" s="572"/>
      <c r="M175" s="55"/>
    </row>
    <row r="176" spans="1:13" ht="37.5" customHeight="1">
      <c r="A176" s="382">
        <v>173</v>
      </c>
      <c r="B176" s="563">
        <v>41768</v>
      </c>
      <c r="C176" s="564" t="s">
        <v>804</v>
      </c>
      <c r="D176" s="565" t="s">
        <v>911</v>
      </c>
      <c r="E176" s="566">
        <v>488.3</v>
      </c>
      <c r="F176" s="578" t="s">
        <v>262</v>
      </c>
      <c r="G176" s="568" t="s">
        <v>263</v>
      </c>
      <c r="H176" s="569" t="s">
        <v>294</v>
      </c>
      <c r="I176" s="568" t="s">
        <v>751</v>
      </c>
      <c r="J176" s="570"/>
      <c r="K176" s="571"/>
      <c r="L176" s="572"/>
      <c r="M176" s="55"/>
    </row>
    <row r="177" spans="1:13" ht="37.5" customHeight="1">
      <c r="A177" s="382">
        <v>174</v>
      </c>
      <c r="B177" s="563">
        <v>41771</v>
      </c>
      <c r="C177" s="564" t="s">
        <v>805</v>
      </c>
      <c r="D177" s="565" t="s">
        <v>912</v>
      </c>
      <c r="E177" s="566">
        <v>500</v>
      </c>
      <c r="F177" s="578" t="s">
        <v>262</v>
      </c>
      <c r="G177" s="568" t="s">
        <v>263</v>
      </c>
      <c r="H177" s="569" t="s">
        <v>294</v>
      </c>
      <c r="I177" s="568" t="s">
        <v>751</v>
      </c>
      <c r="J177" s="570"/>
      <c r="K177" s="571"/>
      <c r="L177" s="572"/>
      <c r="M177" s="55"/>
    </row>
    <row r="178" spans="1:13" ht="37.5" customHeight="1">
      <c r="A178" s="382">
        <v>175</v>
      </c>
      <c r="B178" s="563">
        <v>41771</v>
      </c>
      <c r="C178" s="564" t="s">
        <v>806</v>
      </c>
      <c r="D178" s="565" t="s">
        <v>913</v>
      </c>
      <c r="E178" s="566">
        <v>500</v>
      </c>
      <c r="F178" s="578" t="s">
        <v>262</v>
      </c>
      <c r="G178" s="568" t="s">
        <v>263</v>
      </c>
      <c r="H178" s="569" t="s">
        <v>294</v>
      </c>
      <c r="I178" s="568" t="s">
        <v>751</v>
      </c>
      <c r="J178" s="570"/>
      <c r="K178" s="571"/>
      <c r="L178" s="572"/>
      <c r="M178" s="55"/>
    </row>
    <row r="179" spans="1:13" ht="37.5" customHeight="1">
      <c r="A179" s="382">
        <v>176</v>
      </c>
      <c r="B179" s="559">
        <v>41775</v>
      </c>
      <c r="C179" s="241" t="s">
        <v>666</v>
      </c>
      <c r="D179" s="403" t="s">
        <v>299</v>
      </c>
      <c r="E179" s="243">
        <v>2590.22</v>
      </c>
      <c r="F179" s="242" t="s">
        <v>230</v>
      </c>
      <c r="G179" s="580" t="s">
        <v>143</v>
      </c>
      <c r="H179" s="242" t="s">
        <v>294</v>
      </c>
      <c r="I179" s="561" t="s">
        <v>384</v>
      </c>
      <c r="J179" s="249"/>
      <c r="K179" s="245"/>
      <c r="L179" s="240"/>
      <c r="M179" s="55"/>
    </row>
    <row r="180" spans="1:13" ht="37.5" customHeight="1">
      <c r="A180" s="382">
        <v>177</v>
      </c>
      <c r="B180" s="559">
        <v>41775</v>
      </c>
      <c r="C180" s="241" t="s">
        <v>667</v>
      </c>
      <c r="D180" s="403" t="s">
        <v>296</v>
      </c>
      <c r="E180" s="243">
        <v>211.8</v>
      </c>
      <c r="F180" s="242" t="s">
        <v>79</v>
      </c>
      <c r="G180" s="580" t="s">
        <v>0</v>
      </c>
      <c r="H180" s="242" t="s">
        <v>294</v>
      </c>
      <c r="I180" s="561" t="s">
        <v>336</v>
      </c>
      <c r="J180" s="249"/>
      <c r="K180" s="245"/>
      <c r="L180" s="240"/>
      <c r="M180" s="55"/>
    </row>
    <row r="181" spans="1:13" ht="37.5" customHeight="1">
      <c r="A181" s="382">
        <v>178</v>
      </c>
      <c r="B181" s="559">
        <v>41775</v>
      </c>
      <c r="C181" s="241" t="s">
        <v>668</v>
      </c>
      <c r="D181" s="403" t="s">
        <v>300</v>
      </c>
      <c r="E181" s="243">
        <v>294</v>
      </c>
      <c r="F181" s="242" t="s">
        <v>170</v>
      </c>
      <c r="G181" s="580" t="s">
        <v>44</v>
      </c>
      <c r="H181" s="242" t="s">
        <v>294</v>
      </c>
      <c r="I181" s="561" t="s">
        <v>336</v>
      </c>
      <c r="J181" s="249"/>
      <c r="K181" s="245"/>
      <c r="L181" s="240"/>
      <c r="M181" s="55"/>
    </row>
    <row r="182" spans="1:13" ht="37.5" customHeight="1">
      <c r="A182" s="382">
        <v>179</v>
      </c>
      <c r="B182" s="559">
        <v>41775</v>
      </c>
      <c r="C182" s="241" t="s">
        <v>669</v>
      </c>
      <c r="D182" s="403" t="s">
        <v>617</v>
      </c>
      <c r="E182" s="243">
        <v>8.71</v>
      </c>
      <c r="F182" s="242" t="s">
        <v>79</v>
      </c>
      <c r="G182" s="580" t="s">
        <v>0</v>
      </c>
      <c r="H182" s="242" t="s">
        <v>294</v>
      </c>
      <c r="I182" s="561" t="s">
        <v>336</v>
      </c>
      <c r="J182" s="249"/>
      <c r="K182" s="245"/>
      <c r="L182" s="240"/>
      <c r="M182" s="55"/>
    </row>
    <row r="183" spans="1:13" ht="37.5" customHeight="1">
      <c r="A183" s="382">
        <v>180</v>
      </c>
      <c r="B183" s="559">
        <v>41775</v>
      </c>
      <c r="C183" s="241" t="s">
        <v>670</v>
      </c>
      <c r="D183" s="403" t="s">
        <v>315</v>
      </c>
      <c r="E183" s="243">
        <v>250.04</v>
      </c>
      <c r="F183" s="242" t="s">
        <v>173</v>
      </c>
      <c r="G183" s="580" t="s">
        <v>171</v>
      </c>
      <c r="H183" s="242" t="s">
        <v>295</v>
      </c>
      <c r="I183" s="561" t="s">
        <v>336</v>
      </c>
      <c r="J183" s="249"/>
      <c r="K183" s="245"/>
      <c r="L183" s="240"/>
      <c r="M183" s="55"/>
    </row>
    <row r="184" spans="1:13" ht="37.5" customHeight="1">
      <c r="A184" s="382">
        <v>181</v>
      </c>
      <c r="B184" s="559">
        <v>41775</v>
      </c>
      <c r="C184" s="241" t="s">
        <v>671</v>
      </c>
      <c r="D184" s="403" t="s">
        <v>315</v>
      </c>
      <c r="E184" s="243">
        <v>67.4</v>
      </c>
      <c r="F184" s="242" t="s">
        <v>173</v>
      </c>
      <c r="G184" s="580" t="s">
        <v>171</v>
      </c>
      <c r="H184" s="242" t="s">
        <v>294</v>
      </c>
      <c r="I184" s="561" t="s">
        <v>336</v>
      </c>
      <c r="J184" s="249"/>
      <c r="K184" s="245"/>
      <c r="L184" s="240"/>
      <c r="M184" s="55"/>
    </row>
    <row r="185" spans="1:13" ht="37.5" customHeight="1">
      <c r="A185" s="382">
        <v>182</v>
      </c>
      <c r="B185" s="559">
        <v>41775</v>
      </c>
      <c r="C185" s="241" t="s">
        <v>672</v>
      </c>
      <c r="D185" s="403" t="s">
        <v>315</v>
      </c>
      <c r="E185" s="243">
        <v>364.84</v>
      </c>
      <c r="F185" s="242" t="s">
        <v>173</v>
      </c>
      <c r="G185" s="580" t="s">
        <v>171</v>
      </c>
      <c r="H185" s="242" t="s">
        <v>294</v>
      </c>
      <c r="I185" s="561" t="s">
        <v>336</v>
      </c>
      <c r="J185" s="249"/>
      <c r="K185" s="245"/>
      <c r="L185" s="240"/>
      <c r="M185" s="55"/>
    </row>
    <row r="186" spans="1:13" ht="37.5" customHeight="1">
      <c r="A186" s="382">
        <v>183</v>
      </c>
      <c r="B186" s="559">
        <v>41775</v>
      </c>
      <c r="C186" s="241" t="s">
        <v>656</v>
      </c>
      <c r="D186" s="403" t="s">
        <v>296</v>
      </c>
      <c r="E186" s="243">
        <v>3744</v>
      </c>
      <c r="F186" s="242" t="s">
        <v>79</v>
      </c>
      <c r="G186" s="580" t="s">
        <v>0</v>
      </c>
      <c r="H186" s="242" t="s">
        <v>294</v>
      </c>
      <c r="I186" s="561" t="s">
        <v>336</v>
      </c>
      <c r="J186" s="249"/>
      <c r="K186" s="245"/>
      <c r="L186" s="240"/>
      <c r="M186" s="55"/>
    </row>
    <row r="187" spans="1:13" ht="37.5" customHeight="1">
      <c r="A187" s="382">
        <v>184</v>
      </c>
      <c r="B187" s="563">
        <v>41775</v>
      </c>
      <c r="C187" s="564" t="s">
        <v>807</v>
      </c>
      <c r="D187" s="565" t="s">
        <v>299</v>
      </c>
      <c r="E187" s="566">
        <v>1265</v>
      </c>
      <c r="F187" s="567" t="s">
        <v>262</v>
      </c>
      <c r="G187" s="568" t="s">
        <v>263</v>
      </c>
      <c r="H187" s="569" t="s">
        <v>294</v>
      </c>
      <c r="I187" s="568" t="s">
        <v>751</v>
      </c>
      <c r="J187" s="570"/>
      <c r="K187" s="571"/>
      <c r="L187" s="572"/>
      <c r="M187" s="55"/>
    </row>
    <row r="188" spans="1:13" ht="37.5" customHeight="1" thickBot="1">
      <c r="A188" s="382">
        <v>185</v>
      </c>
      <c r="B188" s="559">
        <v>41782</v>
      </c>
      <c r="C188" s="241" t="s">
        <v>500</v>
      </c>
      <c r="D188" s="403" t="s">
        <v>501</v>
      </c>
      <c r="E188" s="243">
        <v>1255.54</v>
      </c>
      <c r="F188" s="560" t="s">
        <v>54</v>
      </c>
      <c r="G188" s="561" t="s">
        <v>275</v>
      </c>
      <c r="H188" s="242" t="s">
        <v>294</v>
      </c>
      <c r="I188" s="561" t="s">
        <v>366</v>
      </c>
      <c r="J188" s="249"/>
      <c r="K188" s="245"/>
      <c r="L188" s="240"/>
      <c r="M188" s="55"/>
    </row>
    <row r="189" spans="1:13" ht="37.5" customHeight="1" thickTop="1">
      <c r="A189" s="382">
        <v>186</v>
      </c>
      <c r="B189" s="559">
        <v>41792</v>
      </c>
      <c r="C189" s="241" t="s">
        <v>502</v>
      </c>
      <c r="D189" s="403" t="s">
        <v>293</v>
      </c>
      <c r="E189" s="243">
        <v>5.85</v>
      </c>
      <c r="F189" s="355" t="s">
        <v>1070</v>
      </c>
      <c r="G189" s="356" t="s">
        <v>243</v>
      </c>
      <c r="H189" s="242" t="s">
        <v>294</v>
      </c>
      <c r="I189" s="561" t="s">
        <v>366</v>
      </c>
      <c r="J189" s="249"/>
      <c r="K189" s="245"/>
      <c r="L189" s="240"/>
      <c r="M189" s="55"/>
    </row>
    <row r="190" spans="1:13" ht="37.5" customHeight="1">
      <c r="A190" s="382">
        <v>187</v>
      </c>
      <c r="B190" s="559">
        <v>41792</v>
      </c>
      <c r="C190" s="241" t="s">
        <v>503</v>
      </c>
      <c r="D190" s="403" t="s">
        <v>372</v>
      </c>
      <c r="E190" s="243">
        <v>139.21</v>
      </c>
      <c r="F190" s="560" t="s">
        <v>262</v>
      </c>
      <c r="G190" s="561" t="s">
        <v>263</v>
      </c>
      <c r="H190" s="242" t="s">
        <v>294</v>
      </c>
      <c r="I190" s="561" t="s">
        <v>298</v>
      </c>
      <c r="J190" s="249"/>
      <c r="K190" s="245"/>
      <c r="L190" s="240"/>
      <c r="M190" s="55"/>
    </row>
    <row r="191" spans="1:13" ht="37.5" customHeight="1">
      <c r="A191" s="382">
        <v>188</v>
      </c>
      <c r="B191" s="559">
        <v>41792</v>
      </c>
      <c r="C191" s="241" t="s">
        <v>504</v>
      </c>
      <c r="D191" s="403" t="s">
        <v>453</v>
      </c>
      <c r="E191" s="243">
        <v>15.05</v>
      </c>
      <c r="F191" s="560" t="s">
        <v>58</v>
      </c>
      <c r="G191" s="561" t="s">
        <v>71</v>
      </c>
      <c r="H191" s="242" t="s">
        <v>294</v>
      </c>
      <c r="I191" s="561" t="s">
        <v>366</v>
      </c>
      <c r="J191" s="249"/>
      <c r="K191" s="245"/>
      <c r="L191" s="240"/>
      <c r="M191" s="55"/>
    </row>
    <row r="192" spans="1:13" ht="37.5" customHeight="1">
      <c r="A192" s="382">
        <v>189</v>
      </c>
      <c r="B192" s="563">
        <v>41792</v>
      </c>
      <c r="C192" s="564" t="s">
        <v>808</v>
      </c>
      <c r="D192" s="565" t="s">
        <v>293</v>
      </c>
      <c r="E192" s="566">
        <v>6</v>
      </c>
      <c r="F192" s="567" t="s">
        <v>262</v>
      </c>
      <c r="G192" s="568" t="s">
        <v>263</v>
      </c>
      <c r="H192" s="569" t="s">
        <v>294</v>
      </c>
      <c r="I192" s="568" t="s">
        <v>751</v>
      </c>
      <c r="J192" s="570"/>
      <c r="K192" s="571"/>
      <c r="L192" s="572"/>
      <c r="M192" s="55"/>
    </row>
    <row r="193" spans="1:13" ht="37.5" customHeight="1">
      <c r="A193" s="382">
        <v>190</v>
      </c>
      <c r="B193" s="559">
        <v>41793</v>
      </c>
      <c r="C193" s="241" t="s">
        <v>505</v>
      </c>
      <c r="D193" s="403" t="s">
        <v>369</v>
      </c>
      <c r="E193" s="243">
        <v>42.7</v>
      </c>
      <c r="F193" s="560" t="s">
        <v>207</v>
      </c>
      <c r="G193" s="561" t="s">
        <v>208</v>
      </c>
      <c r="H193" s="242" t="s">
        <v>294</v>
      </c>
      <c r="I193" s="561" t="s">
        <v>360</v>
      </c>
      <c r="J193" s="249"/>
      <c r="K193" s="245"/>
      <c r="L193" s="240"/>
      <c r="M193" s="55"/>
    </row>
    <row r="194" spans="1:13" ht="37.5" customHeight="1">
      <c r="A194" s="382">
        <v>191</v>
      </c>
      <c r="B194" s="559">
        <v>41806</v>
      </c>
      <c r="C194" s="241" t="s">
        <v>674</v>
      </c>
      <c r="D194" s="403" t="s">
        <v>675</v>
      </c>
      <c r="E194" s="243">
        <v>200</v>
      </c>
      <c r="F194" s="560" t="s">
        <v>141</v>
      </c>
      <c r="G194" s="561" t="s">
        <v>142</v>
      </c>
      <c r="H194" s="242" t="s">
        <v>294</v>
      </c>
      <c r="I194" s="561" t="s">
        <v>366</v>
      </c>
      <c r="J194" s="249"/>
      <c r="K194" s="245"/>
      <c r="L194" s="240"/>
      <c r="M194" s="55"/>
    </row>
    <row r="195" spans="1:13" ht="37.5" customHeight="1">
      <c r="A195" s="382">
        <v>192</v>
      </c>
      <c r="B195" s="559">
        <v>41806</v>
      </c>
      <c r="C195" s="241" t="s">
        <v>677</v>
      </c>
      <c r="D195" s="403" t="s">
        <v>381</v>
      </c>
      <c r="E195" s="243">
        <v>3058</v>
      </c>
      <c r="F195" s="560" t="s">
        <v>141</v>
      </c>
      <c r="G195" s="561" t="s">
        <v>142</v>
      </c>
      <c r="H195" s="242" t="s">
        <v>294</v>
      </c>
      <c r="I195" s="561" t="s">
        <v>366</v>
      </c>
      <c r="J195" s="249"/>
      <c r="K195" s="245"/>
      <c r="L195" s="240"/>
      <c r="M195" s="55"/>
    </row>
    <row r="196" spans="1:13" ht="37.5" customHeight="1">
      <c r="A196" s="382">
        <v>193</v>
      </c>
      <c r="B196" s="559">
        <v>41806</v>
      </c>
      <c r="C196" s="241" t="s">
        <v>678</v>
      </c>
      <c r="D196" s="403" t="s">
        <v>381</v>
      </c>
      <c r="E196" s="243">
        <v>1776.66</v>
      </c>
      <c r="F196" s="560" t="s">
        <v>141</v>
      </c>
      <c r="G196" s="561" t="s">
        <v>142</v>
      </c>
      <c r="H196" s="242" t="s">
        <v>294</v>
      </c>
      <c r="I196" s="561" t="s">
        <v>366</v>
      </c>
      <c r="J196" s="249"/>
      <c r="K196" s="245"/>
      <c r="L196" s="240"/>
      <c r="M196" s="55"/>
    </row>
    <row r="197" spans="1:13" ht="37.5" customHeight="1">
      <c r="A197" s="382">
        <v>194</v>
      </c>
      <c r="B197" s="559">
        <v>41806</v>
      </c>
      <c r="C197" s="241" t="s">
        <v>673</v>
      </c>
      <c r="D197" s="403" t="s">
        <v>296</v>
      </c>
      <c r="E197" s="243">
        <v>560</v>
      </c>
      <c r="F197" s="560" t="s">
        <v>79</v>
      </c>
      <c r="G197" s="561" t="s">
        <v>0</v>
      </c>
      <c r="H197" s="242" t="s">
        <v>294</v>
      </c>
      <c r="I197" s="561" t="s">
        <v>336</v>
      </c>
      <c r="J197" s="249"/>
      <c r="K197" s="245"/>
      <c r="L197" s="240"/>
      <c r="M197" s="55"/>
    </row>
    <row r="198" spans="1:13" ht="37.5" customHeight="1">
      <c r="A198" s="382">
        <v>195</v>
      </c>
      <c r="B198" s="559">
        <v>41806</v>
      </c>
      <c r="C198" s="241" t="s">
        <v>665</v>
      </c>
      <c r="D198" s="242" t="s">
        <v>296</v>
      </c>
      <c r="E198" s="243">
        <v>48</v>
      </c>
      <c r="F198" s="242" t="s">
        <v>79</v>
      </c>
      <c r="G198" s="580" t="s">
        <v>0</v>
      </c>
      <c r="H198" s="242" t="s">
        <v>294</v>
      </c>
      <c r="I198" s="561" t="s">
        <v>336</v>
      </c>
      <c r="J198" s="249"/>
      <c r="K198" s="245"/>
      <c r="L198" s="240"/>
      <c r="M198" s="55"/>
    </row>
    <row r="199" spans="1:13" ht="37.5" customHeight="1">
      <c r="A199" s="382">
        <v>196</v>
      </c>
      <c r="B199" s="563">
        <v>41806</v>
      </c>
      <c r="C199" s="564" t="s">
        <v>809</v>
      </c>
      <c r="D199" s="565" t="s">
        <v>296</v>
      </c>
      <c r="E199" s="566">
        <v>600</v>
      </c>
      <c r="F199" s="567" t="s">
        <v>262</v>
      </c>
      <c r="G199" s="568" t="s">
        <v>263</v>
      </c>
      <c r="H199" s="569" t="s">
        <v>294</v>
      </c>
      <c r="I199" s="568" t="s">
        <v>751</v>
      </c>
      <c r="J199" s="570"/>
      <c r="K199" s="571"/>
      <c r="L199" s="572"/>
      <c r="M199" s="55"/>
    </row>
    <row r="200" spans="1:13" ht="37.5" customHeight="1">
      <c r="A200" s="382">
        <v>197</v>
      </c>
      <c r="B200" s="559">
        <v>41807</v>
      </c>
      <c r="C200" s="241" t="s">
        <v>506</v>
      </c>
      <c r="D200" s="242" t="s">
        <v>544</v>
      </c>
      <c r="E200" s="243">
        <v>165.54</v>
      </c>
      <c r="F200" s="560" t="s">
        <v>147</v>
      </c>
      <c r="G200" s="561" t="s">
        <v>188</v>
      </c>
      <c r="H200" s="242" t="s">
        <v>294</v>
      </c>
      <c r="I200" s="561" t="s">
        <v>366</v>
      </c>
      <c r="J200" s="249"/>
      <c r="K200" s="245"/>
      <c r="L200" s="240"/>
      <c r="M200" s="55"/>
    </row>
    <row r="201" spans="1:13" ht="37.5" customHeight="1">
      <c r="A201" s="382">
        <v>198</v>
      </c>
      <c r="B201" s="559">
        <v>41820</v>
      </c>
      <c r="C201" s="241" t="s">
        <v>507</v>
      </c>
      <c r="D201" s="403" t="s">
        <v>373</v>
      </c>
      <c r="E201" s="243">
        <v>404.25</v>
      </c>
      <c r="F201" s="560" t="s">
        <v>207</v>
      </c>
      <c r="G201" s="561" t="s">
        <v>208</v>
      </c>
      <c r="H201" s="242" t="s">
        <v>294</v>
      </c>
      <c r="I201" s="561" t="s">
        <v>359</v>
      </c>
      <c r="J201" s="249"/>
      <c r="K201" s="245"/>
      <c r="L201" s="240"/>
      <c r="M201" s="55"/>
    </row>
    <row r="202" spans="1:13" ht="37.5" customHeight="1">
      <c r="A202" s="382">
        <v>199</v>
      </c>
      <c r="B202" s="559">
        <v>41820</v>
      </c>
      <c r="C202" s="241" t="s">
        <v>508</v>
      </c>
      <c r="D202" s="403" t="s">
        <v>373</v>
      </c>
      <c r="E202" s="243">
        <v>66.3</v>
      </c>
      <c r="F202" s="560" t="s">
        <v>207</v>
      </c>
      <c r="G202" s="561" t="s">
        <v>208</v>
      </c>
      <c r="H202" s="242" t="s">
        <v>294</v>
      </c>
      <c r="I202" s="561" t="s">
        <v>366</v>
      </c>
      <c r="J202" s="249"/>
      <c r="K202" s="245"/>
      <c r="L202" s="240"/>
      <c r="M202" s="55"/>
    </row>
    <row r="203" spans="1:13" ht="37.5" customHeight="1">
      <c r="A203" s="382">
        <v>200</v>
      </c>
      <c r="B203" s="559">
        <v>41820</v>
      </c>
      <c r="C203" s="241" t="s">
        <v>509</v>
      </c>
      <c r="D203" s="403" t="s">
        <v>373</v>
      </c>
      <c r="E203" s="243">
        <v>54</v>
      </c>
      <c r="F203" s="560" t="s">
        <v>207</v>
      </c>
      <c r="G203" s="561" t="s">
        <v>208</v>
      </c>
      <c r="H203" s="242" t="s">
        <v>294</v>
      </c>
      <c r="I203" s="561" t="s">
        <v>359</v>
      </c>
      <c r="J203" s="249"/>
      <c r="K203" s="245"/>
      <c r="L203" s="240"/>
      <c r="M203" s="55"/>
    </row>
    <row r="204" spans="1:13" ht="37.5" customHeight="1">
      <c r="A204" s="382">
        <v>201</v>
      </c>
      <c r="B204" s="559">
        <v>41820</v>
      </c>
      <c r="C204" s="241" t="s">
        <v>510</v>
      </c>
      <c r="D204" s="403" t="s">
        <v>373</v>
      </c>
      <c r="E204" s="243">
        <v>158.12</v>
      </c>
      <c r="F204" s="560" t="s">
        <v>50</v>
      </c>
      <c r="G204" s="561" t="s">
        <v>125</v>
      </c>
      <c r="H204" s="242" t="s">
        <v>294</v>
      </c>
      <c r="I204" s="561" t="s">
        <v>366</v>
      </c>
      <c r="J204" s="249"/>
      <c r="K204" s="245"/>
      <c r="L204" s="240"/>
      <c r="M204" s="55"/>
    </row>
    <row r="205" spans="1:13" ht="37.5" customHeight="1">
      <c r="A205" s="382">
        <v>202</v>
      </c>
      <c r="B205" s="559">
        <v>41820</v>
      </c>
      <c r="C205" s="241" t="s">
        <v>511</v>
      </c>
      <c r="D205" s="403" t="s">
        <v>373</v>
      </c>
      <c r="E205" s="243">
        <v>11.55</v>
      </c>
      <c r="F205" s="560" t="s">
        <v>58</v>
      </c>
      <c r="G205" s="561" t="s">
        <v>71</v>
      </c>
      <c r="H205" s="242" t="s">
        <v>294</v>
      </c>
      <c r="I205" s="561" t="s">
        <v>366</v>
      </c>
      <c r="J205" s="249"/>
      <c r="K205" s="245"/>
      <c r="L205" s="240"/>
      <c r="M205" s="55"/>
    </row>
    <row r="206" spans="1:13" ht="37.5" customHeight="1" thickBot="1">
      <c r="A206" s="382">
        <v>203</v>
      </c>
      <c r="B206" s="563">
        <v>41820</v>
      </c>
      <c r="C206" s="564" t="s">
        <v>386</v>
      </c>
      <c r="D206" s="565" t="s">
        <v>293</v>
      </c>
      <c r="E206" s="566">
        <v>38.49</v>
      </c>
      <c r="F206" s="567" t="s">
        <v>60</v>
      </c>
      <c r="G206" s="568" t="s">
        <v>138</v>
      </c>
      <c r="H206" s="569" t="s">
        <v>294</v>
      </c>
      <c r="I206" s="568" t="s">
        <v>751</v>
      </c>
      <c r="J206" s="570"/>
      <c r="K206" s="571"/>
      <c r="L206" s="572"/>
      <c r="M206" s="55"/>
    </row>
    <row r="207" spans="1:13" ht="37.5" customHeight="1" thickTop="1">
      <c r="A207" s="382">
        <v>204</v>
      </c>
      <c r="B207" s="559">
        <v>41821</v>
      </c>
      <c r="C207" s="241" t="s">
        <v>512</v>
      </c>
      <c r="D207" s="403" t="s">
        <v>293</v>
      </c>
      <c r="E207" s="243">
        <v>5.85</v>
      </c>
      <c r="F207" s="355" t="s">
        <v>1070</v>
      </c>
      <c r="G207" s="356" t="s">
        <v>243</v>
      </c>
      <c r="H207" s="242" t="s">
        <v>294</v>
      </c>
      <c r="I207" s="561" t="s">
        <v>366</v>
      </c>
      <c r="J207" s="249"/>
      <c r="K207" s="245"/>
      <c r="L207" s="240"/>
      <c r="M207" s="55"/>
    </row>
    <row r="208" spans="1:13" ht="37.5" customHeight="1">
      <c r="A208" s="382">
        <v>205</v>
      </c>
      <c r="B208" s="559">
        <v>41821</v>
      </c>
      <c r="C208" s="241" t="s">
        <v>387</v>
      </c>
      <c r="D208" s="403" t="s">
        <v>293</v>
      </c>
      <c r="E208" s="243">
        <v>24.93</v>
      </c>
      <c r="F208" s="560" t="s">
        <v>141</v>
      </c>
      <c r="G208" s="581" t="s">
        <v>142</v>
      </c>
      <c r="H208" s="242" t="s">
        <v>294</v>
      </c>
      <c r="I208" s="561" t="s">
        <v>366</v>
      </c>
      <c r="J208" s="249"/>
      <c r="K208" s="245"/>
      <c r="L208" s="240"/>
      <c r="M208" s="55"/>
    </row>
    <row r="209" spans="1:13" ht="37.5" customHeight="1">
      <c r="A209" s="382">
        <v>206</v>
      </c>
      <c r="B209" s="563">
        <v>41821</v>
      </c>
      <c r="C209" s="564" t="s">
        <v>810</v>
      </c>
      <c r="D209" s="565" t="s">
        <v>293</v>
      </c>
      <c r="E209" s="566">
        <v>6</v>
      </c>
      <c r="F209" s="578" t="s">
        <v>1070</v>
      </c>
      <c r="G209" s="576" t="s">
        <v>243</v>
      </c>
      <c r="H209" s="569" t="s">
        <v>294</v>
      </c>
      <c r="I209" s="568" t="s">
        <v>751</v>
      </c>
      <c r="J209" s="570"/>
      <c r="K209" s="571"/>
      <c r="L209" s="572"/>
      <c r="M209" s="55"/>
    </row>
    <row r="210" spans="1:13" ht="37.5" customHeight="1">
      <c r="A210" s="382">
        <v>207</v>
      </c>
      <c r="B210" s="563">
        <v>41821</v>
      </c>
      <c r="C210" s="564" t="s">
        <v>387</v>
      </c>
      <c r="D210" s="565" t="s">
        <v>293</v>
      </c>
      <c r="E210" s="566">
        <v>24.93</v>
      </c>
      <c r="F210" s="567" t="s">
        <v>141</v>
      </c>
      <c r="G210" s="568" t="s">
        <v>142</v>
      </c>
      <c r="H210" s="569" t="s">
        <v>294</v>
      </c>
      <c r="I210" s="568" t="s">
        <v>751</v>
      </c>
      <c r="J210" s="570"/>
      <c r="K210" s="571"/>
      <c r="L210" s="572"/>
      <c r="M210" s="55"/>
    </row>
    <row r="211" spans="1:13" ht="37.5" customHeight="1">
      <c r="A211" s="382">
        <v>208</v>
      </c>
      <c r="B211" s="559">
        <v>41827</v>
      </c>
      <c r="C211" s="241" t="s">
        <v>514</v>
      </c>
      <c r="D211" s="403" t="s">
        <v>377</v>
      </c>
      <c r="E211" s="243">
        <v>78</v>
      </c>
      <c r="F211" s="560" t="s">
        <v>207</v>
      </c>
      <c r="G211" s="561" t="s">
        <v>208</v>
      </c>
      <c r="H211" s="242" t="s">
        <v>294</v>
      </c>
      <c r="I211" s="561" t="s">
        <v>385</v>
      </c>
      <c r="J211" s="249"/>
      <c r="K211" s="245"/>
      <c r="L211" s="240"/>
      <c r="M211" s="55"/>
    </row>
    <row r="212" spans="1:13" ht="37.5" customHeight="1">
      <c r="A212" s="382">
        <v>209</v>
      </c>
      <c r="B212" s="559">
        <v>41827</v>
      </c>
      <c r="C212" s="241" t="s">
        <v>515</v>
      </c>
      <c r="D212" s="403" t="s">
        <v>373</v>
      </c>
      <c r="E212" s="243">
        <v>90.8</v>
      </c>
      <c r="F212" s="560" t="s">
        <v>207</v>
      </c>
      <c r="G212" s="561" t="s">
        <v>208</v>
      </c>
      <c r="H212" s="242" t="s">
        <v>294</v>
      </c>
      <c r="I212" s="561" t="s">
        <v>385</v>
      </c>
      <c r="J212" s="249"/>
      <c r="K212" s="245"/>
      <c r="L212" s="240"/>
      <c r="M212" s="55"/>
    </row>
    <row r="213" spans="1:13" ht="37.5" customHeight="1">
      <c r="A213" s="382">
        <v>210</v>
      </c>
      <c r="B213" s="559">
        <v>41827</v>
      </c>
      <c r="C213" s="241" t="s">
        <v>513</v>
      </c>
      <c r="D213" s="242" t="s">
        <v>544</v>
      </c>
      <c r="E213" s="243">
        <v>75.54</v>
      </c>
      <c r="F213" s="579" t="s">
        <v>147</v>
      </c>
      <c r="G213" s="561" t="s">
        <v>188</v>
      </c>
      <c r="H213" s="242" t="s">
        <v>294</v>
      </c>
      <c r="I213" s="561" t="s">
        <v>366</v>
      </c>
      <c r="J213" s="249"/>
      <c r="K213" s="245"/>
      <c r="L213" s="240"/>
      <c r="M213" s="55"/>
    </row>
    <row r="214" spans="1:13" ht="37.5" customHeight="1">
      <c r="A214" s="382">
        <v>211</v>
      </c>
      <c r="B214" s="559">
        <v>41827</v>
      </c>
      <c r="C214" s="241" t="s">
        <v>635</v>
      </c>
      <c r="D214" s="242" t="s">
        <v>333</v>
      </c>
      <c r="E214" s="243">
        <v>1025.06</v>
      </c>
      <c r="F214" s="579"/>
      <c r="G214" s="561" t="s">
        <v>545</v>
      </c>
      <c r="H214" s="242" t="s">
        <v>294</v>
      </c>
      <c r="I214" s="561" t="s">
        <v>494</v>
      </c>
      <c r="J214" s="249">
        <f>'GIORNALE DELLE ENTRATE'!E67+'GIORNALE DELLE ENTRATE'!E68+'GIORNALE DELLE ENTRATE'!E69+'GIORNALE DELLE ENTRATE'!E70</f>
        <v>706.98</v>
      </c>
      <c r="K214" s="245">
        <f>E214+E215-J214</f>
        <v>318.1099999999999</v>
      </c>
      <c r="L214" s="240"/>
      <c r="M214" s="55"/>
    </row>
    <row r="215" spans="1:13" ht="37.5" customHeight="1">
      <c r="A215" s="382">
        <v>212</v>
      </c>
      <c r="B215" s="559">
        <v>41827</v>
      </c>
      <c r="C215" s="241" t="s">
        <v>636</v>
      </c>
      <c r="D215" s="242" t="s">
        <v>333</v>
      </c>
      <c r="E215" s="243">
        <v>0.03</v>
      </c>
      <c r="F215" s="579"/>
      <c r="G215" s="561" t="s">
        <v>545</v>
      </c>
      <c r="H215" s="242" t="s">
        <v>294</v>
      </c>
      <c r="I215" s="561" t="s">
        <v>494</v>
      </c>
      <c r="J215" s="249"/>
      <c r="K215" s="245"/>
      <c r="L215" s="240"/>
      <c r="M215" s="55"/>
    </row>
    <row r="216" spans="1:13" ht="37.5" customHeight="1">
      <c r="A216" s="382">
        <v>213</v>
      </c>
      <c r="B216" s="559">
        <v>41827</v>
      </c>
      <c r="C216" s="241" t="s">
        <v>637</v>
      </c>
      <c r="D216" s="242" t="s">
        <v>284</v>
      </c>
      <c r="E216" s="243">
        <v>196.18</v>
      </c>
      <c r="F216" s="579"/>
      <c r="G216" s="561" t="s">
        <v>545</v>
      </c>
      <c r="H216" s="242" t="s">
        <v>294</v>
      </c>
      <c r="I216" s="561" t="s">
        <v>494</v>
      </c>
      <c r="J216" s="249"/>
      <c r="K216" s="245"/>
      <c r="L216" s="240"/>
      <c r="M216" s="55"/>
    </row>
    <row r="217" spans="1:13" ht="37.5" customHeight="1">
      <c r="A217" s="382">
        <v>214</v>
      </c>
      <c r="B217" s="559">
        <v>41827</v>
      </c>
      <c r="C217" s="241" t="s">
        <v>638</v>
      </c>
      <c r="D217" s="242" t="s">
        <v>284</v>
      </c>
      <c r="E217" s="243">
        <v>8.26</v>
      </c>
      <c r="F217" s="579"/>
      <c r="G217" s="561" t="s">
        <v>545</v>
      </c>
      <c r="H217" s="242" t="s">
        <v>294</v>
      </c>
      <c r="I217" s="561" t="s">
        <v>494</v>
      </c>
      <c r="J217" s="249"/>
      <c r="K217" s="245"/>
      <c r="L217" s="240"/>
      <c r="M217" s="55"/>
    </row>
    <row r="218" spans="1:13" ht="37.5" customHeight="1">
      <c r="A218" s="382">
        <v>215</v>
      </c>
      <c r="B218" s="559">
        <v>41827</v>
      </c>
      <c r="C218" s="241" t="s">
        <v>635</v>
      </c>
      <c r="D218" s="242" t="s">
        <v>599</v>
      </c>
      <c r="E218" s="243">
        <v>456.17</v>
      </c>
      <c r="F218" s="579"/>
      <c r="G218" s="561" t="s">
        <v>545</v>
      </c>
      <c r="H218" s="242" t="s">
        <v>294</v>
      </c>
      <c r="I218" s="561" t="s">
        <v>693</v>
      </c>
      <c r="J218" s="249">
        <f>'GIORNALE DELLE ENTRATE'!E73+'GIORNALE DELLE ENTRATE'!E74+'GIORNALE DELLE ENTRATE'!E75+'GIORNALE DELLE ENTRATE'!E76</f>
        <v>306.65999999999997</v>
      </c>
      <c r="K218" s="245">
        <f>E218+E219-J218</f>
        <v>150.12000000000006</v>
      </c>
      <c r="L218" s="240"/>
      <c r="M218" s="55"/>
    </row>
    <row r="219" spans="1:13" ht="37.5" customHeight="1">
      <c r="A219" s="382">
        <v>216</v>
      </c>
      <c r="B219" s="559">
        <v>41827</v>
      </c>
      <c r="C219" s="241" t="s">
        <v>636</v>
      </c>
      <c r="D219" s="242" t="s">
        <v>599</v>
      </c>
      <c r="E219" s="243">
        <v>0.61</v>
      </c>
      <c r="F219" s="579"/>
      <c r="G219" s="561" t="s">
        <v>545</v>
      </c>
      <c r="H219" s="242" t="s">
        <v>294</v>
      </c>
      <c r="I219" s="561" t="s">
        <v>693</v>
      </c>
      <c r="J219" s="249"/>
      <c r="K219" s="245"/>
      <c r="L219" s="240"/>
      <c r="M219" s="55"/>
    </row>
    <row r="220" spans="1:13" ht="37.5" customHeight="1">
      <c r="A220" s="382">
        <v>217</v>
      </c>
      <c r="B220" s="559">
        <v>41827</v>
      </c>
      <c r="C220" s="241" t="s">
        <v>643</v>
      </c>
      <c r="D220" s="242" t="s">
        <v>284</v>
      </c>
      <c r="E220" s="243">
        <v>87.28</v>
      </c>
      <c r="F220" s="579"/>
      <c r="G220" s="561" t="s">
        <v>545</v>
      </c>
      <c r="H220" s="242" t="s">
        <v>294</v>
      </c>
      <c r="I220" s="561" t="s">
        <v>693</v>
      </c>
      <c r="J220" s="249"/>
      <c r="K220" s="245"/>
      <c r="L220" s="240"/>
      <c r="M220" s="55"/>
    </row>
    <row r="221" spans="1:13" ht="37.5" customHeight="1">
      <c r="A221" s="382">
        <v>218</v>
      </c>
      <c r="B221" s="559">
        <v>41827</v>
      </c>
      <c r="C221" s="241" t="s">
        <v>644</v>
      </c>
      <c r="D221" s="242" t="s">
        <v>284</v>
      </c>
      <c r="E221" s="243">
        <v>24.76</v>
      </c>
      <c r="F221" s="560"/>
      <c r="G221" s="561" t="s">
        <v>545</v>
      </c>
      <c r="H221" s="242" t="s">
        <v>294</v>
      </c>
      <c r="I221" s="561" t="s">
        <v>693</v>
      </c>
      <c r="J221" s="249"/>
      <c r="K221" s="245"/>
      <c r="L221" s="240"/>
      <c r="M221" s="55"/>
    </row>
    <row r="222" spans="1:13" ht="37.5" customHeight="1">
      <c r="A222" s="382">
        <v>219</v>
      </c>
      <c r="B222" s="559">
        <v>41836</v>
      </c>
      <c r="C222" s="241" t="s">
        <v>679</v>
      </c>
      <c r="D222" s="242" t="s">
        <v>296</v>
      </c>
      <c r="E222" s="243">
        <v>212.25</v>
      </c>
      <c r="F222" s="560" t="s">
        <v>79</v>
      </c>
      <c r="G222" s="561" t="s">
        <v>0</v>
      </c>
      <c r="H222" s="242" t="s">
        <v>294</v>
      </c>
      <c r="I222" s="561" t="s">
        <v>336</v>
      </c>
      <c r="J222" s="249"/>
      <c r="K222" s="245"/>
      <c r="L222" s="240"/>
      <c r="M222" s="55"/>
    </row>
    <row r="223" spans="1:13" ht="37.5" customHeight="1">
      <c r="A223" s="382">
        <v>220</v>
      </c>
      <c r="B223" s="559">
        <v>41836</v>
      </c>
      <c r="C223" s="241" t="s">
        <v>680</v>
      </c>
      <c r="D223" s="242" t="s">
        <v>300</v>
      </c>
      <c r="E223" s="243">
        <v>425</v>
      </c>
      <c r="F223" s="560" t="s">
        <v>170</v>
      </c>
      <c r="G223" s="561" t="s">
        <v>44</v>
      </c>
      <c r="H223" s="242" t="s">
        <v>294</v>
      </c>
      <c r="I223" s="561" t="s">
        <v>336</v>
      </c>
      <c r="J223" s="249"/>
      <c r="K223" s="245"/>
      <c r="L223" s="240"/>
      <c r="M223" s="55"/>
    </row>
    <row r="224" spans="1:13" ht="37.5" customHeight="1">
      <c r="A224" s="382">
        <v>221</v>
      </c>
      <c r="B224" s="559">
        <v>41836</v>
      </c>
      <c r="C224" s="241" t="s">
        <v>681</v>
      </c>
      <c r="D224" s="242" t="s">
        <v>617</v>
      </c>
      <c r="E224" s="243">
        <v>10.17</v>
      </c>
      <c r="F224" s="560" t="s">
        <v>79</v>
      </c>
      <c r="G224" s="561" t="s">
        <v>0</v>
      </c>
      <c r="H224" s="242" t="s">
        <v>294</v>
      </c>
      <c r="I224" s="561" t="s">
        <v>336</v>
      </c>
      <c r="J224" s="249"/>
      <c r="K224" s="245"/>
      <c r="L224" s="240"/>
      <c r="M224" s="55"/>
    </row>
    <row r="225" spans="1:13" ht="37.5" customHeight="1" thickBot="1">
      <c r="A225" s="382">
        <v>222</v>
      </c>
      <c r="B225" s="559">
        <v>41841</v>
      </c>
      <c r="C225" s="241" t="s">
        <v>516</v>
      </c>
      <c r="D225" s="242" t="s">
        <v>544</v>
      </c>
      <c r="E225" s="243">
        <v>500.54</v>
      </c>
      <c r="F225" s="560" t="s">
        <v>147</v>
      </c>
      <c r="G225" s="561" t="s">
        <v>188</v>
      </c>
      <c r="H225" s="242" t="s">
        <v>294</v>
      </c>
      <c r="I225" s="561" t="s">
        <v>366</v>
      </c>
      <c r="J225" s="249"/>
      <c r="K225" s="245"/>
      <c r="L225" s="240"/>
      <c r="M225" s="55"/>
    </row>
    <row r="226" spans="1:13" ht="37.5" customHeight="1" thickTop="1">
      <c r="A226" s="382">
        <v>223</v>
      </c>
      <c r="B226" s="559">
        <v>41852</v>
      </c>
      <c r="C226" s="241" t="s">
        <v>518</v>
      </c>
      <c r="D226" s="403" t="s">
        <v>293</v>
      </c>
      <c r="E226" s="243">
        <v>5.85</v>
      </c>
      <c r="F226" s="355" t="s">
        <v>1070</v>
      </c>
      <c r="G226" s="356" t="s">
        <v>243</v>
      </c>
      <c r="H226" s="242" t="s">
        <v>294</v>
      </c>
      <c r="I226" s="561" t="s">
        <v>366</v>
      </c>
      <c r="J226" s="249"/>
      <c r="K226" s="245"/>
      <c r="L226" s="240"/>
      <c r="M226" s="55"/>
    </row>
    <row r="227" spans="1:13" ht="37.5" customHeight="1">
      <c r="A227" s="382">
        <v>224</v>
      </c>
      <c r="B227" s="563">
        <v>41852</v>
      </c>
      <c r="C227" s="564" t="s">
        <v>811</v>
      </c>
      <c r="D227" s="565" t="s">
        <v>293</v>
      </c>
      <c r="E227" s="566">
        <v>6</v>
      </c>
      <c r="F227" s="567" t="s">
        <v>262</v>
      </c>
      <c r="G227" s="568" t="s">
        <v>263</v>
      </c>
      <c r="H227" s="569" t="s">
        <v>294</v>
      </c>
      <c r="I227" s="568" t="s">
        <v>751</v>
      </c>
      <c r="J227" s="570"/>
      <c r="K227" s="571"/>
      <c r="L227" s="572"/>
      <c r="M227" s="55"/>
    </row>
    <row r="228" spans="1:13" ht="37.5" customHeight="1" thickBot="1">
      <c r="A228" s="382">
        <v>225</v>
      </c>
      <c r="B228" s="559">
        <v>41871</v>
      </c>
      <c r="C228" s="241" t="s">
        <v>684</v>
      </c>
      <c r="D228" s="403" t="s">
        <v>299</v>
      </c>
      <c r="E228" s="243">
        <v>2320.59</v>
      </c>
      <c r="F228" s="560" t="s">
        <v>230</v>
      </c>
      <c r="G228" s="561" t="s">
        <v>143</v>
      </c>
      <c r="H228" s="242" t="s">
        <v>294</v>
      </c>
      <c r="I228" s="561" t="s">
        <v>384</v>
      </c>
      <c r="J228" s="249"/>
      <c r="K228" s="245"/>
      <c r="L228" s="240"/>
      <c r="M228" s="55"/>
    </row>
    <row r="229" spans="1:13" ht="37.5" customHeight="1" thickTop="1">
      <c r="A229" s="382">
        <v>226</v>
      </c>
      <c r="B229" s="559">
        <v>41883</v>
      </c>
      <c r="C229" s="241" t="s">
        <v>519</v>
      </c>
      <c r="D229" s="403" t="s">
        <v>293</v>
      </c>
      <c r="E229" s="243">
        <v>5.85</v>
      </c>
      <c r="F229" s="355" t="s">
        <v>1070</v>
      </c>
      <c r="G229" s="356" t="s">
        <v>243</v>
      </c>
      <c r="H229" s="242" t="s">
        <v>294</v>
      </c>
      <c r="I229" s="561" t="s">
        <v>366</v>
      </c>
      <c r="J229" s="249"/>
      <c r="K229" s="245"/>
      <c r="L229" s="240"/>
      <c r="M229" s="55"/>
    </row>
    <row r="230" spans="1:13" ht="37.5" customHeight="1">
      <c r="A230" s="382">
        <v>227</v>
      </c>
      <c r="B230" s="559">
        <v>41883</v>
      </c>
      <c r="C230" s="241" t="s">
        <v>521</v>
      </c>
      <c r="D230" s="403" t="s">
        <v>373</v>
      </c>
      <c r="E230" s="243">
        <v>58.7</v>
      </c>
      <c r="F230" s="560" t="s">
        <v>207</v>
      </c>
      <c r="G230" s="561" t="s">
        <v>208</v>
      </c>
      <c r="H230" s="242" t="s">
        <v>294</v>
      </c>
      <c r="I230" s="561" t="s">
        <v>385</v>
      </c>
      <c r="J230" s="249"/>
      <c r="K230" s="245"/>
      <c r="L230" s="240"/>
      <c r="M230" s="55"/>
    </row>
    <row r="231" spans="1:13" ht="37.5" customHeight="1">
      <c r="A231" s="382">
        <v>228</v>
      </c>
      <c r="B231" s="559">
        <v>41883</v>
      </c>
      <c r="C231" s="241" t="s">
        <v>523</v>
      </c>
      <c r="D231" s="403" t="s">
        <v>373</v>
      </c>
      <c r="E231" s="243">
        <v>64.83</v>
      </c>
      <c r="F231" s="560" t="s">
        <v>207</v>
      </c>
      <c r="G231" s="561" t="s">
        <v>208</v>
      </c>
      <c r="H231" s="242" t="s">
        <v>294</v>
      </c>
      <c r="I231" s="561" t="s">
        <v>360</v>
      </c>
      <c r="J231" s="249"/>
      <c r="K231" s="245"/>
      <c r="L231" s="240"/>
      <c r="M231" s="55"/>
    </row>
    <row r="232" spans="1:13" ht="37.5" customHeight="1">
      <c r="A232" s="382">
        <v>229</v>
      </c>
      <c r="B232" s="559">
        <v>41883</v>
      </c>
      <c r="C232" s="241" t="s">
        <v>524</v>
      </c>
      <c r="D232" s="403" t="s">
        <v>373</v>
      </c>
      <c r="E232" s="243">
        <v>56.8</v>
      </c>
      <c r="F232" s="560" t="s">
        <v>207</v>
      </c>
      <c r="G232" s="561" t="s">
        <v>208</v>
      </c>
      <c r="H232" s="242" t="s">
        <v>294</v>
      </c>
      <c r="I232" s="561" t="s">
        <v>356</v>
      </c>
      <c r="J232" s="249"/>
      <c r="K232" s="245"/>
      <c r="L232" s="240"/>
      <c r="M232" s="55"/>
    </row>
    <row r="233" spans="1:13" ht="37.5" customHeight="1">
      <c r="A233" s="382">
        <v>230</v>
      </c>
      <c r="B233" s="559">
        <v>41883</v>
      </c>
      <c r="C233" s="241" t="s">
        <v>525</v>
      </c>
      <c r="D233" s="403" t="s">
        <v>373</v>
      </c>
      <c r="E233" s="243">
        <v>114.12</v>
      </c>
      <c r="F233" s="560" t="s">
        <v>207</v>
      </c>
      <c r="G233" s="561" t="s">
        <v>208</v>
      </c>
      <c r="H233" s="242" t="s">
        <v>294</v>
      </c>
      <c r="I233" s="561" t="s">
        <v>356</v>
      </c>
      <c r="J233" s="249"/>
      <c r="K233" s="245"/>
      <c r="L233" s="240"/>
      <c r="M233" s="55"/>
    </row>
    <row r="234" spans="1:13" ht="37.5" customHeight="1">
      <c r="A234" s="382">
        <v>231</v>
      </c>
      <c r="B234" s="559">
        <v>41883</v>
      </c>
      <c r="C234" s="241" t="s">
        <v>526</v>
      </c>
      <c r="D234" s="403" t="s">
        <v>373</v>
      </c>
      <c r="E234" s="243">
        <v>76.89</v>
      </c>
      <c r="F234" s="560" t="s">
        <v>207</v>
      </c>
      <c r="G234" s="561" t="s">
        <v>208</v>
      </c>
      <c r="H234" s="242" t="s">
        <v>294</v>
      </c>
      <c r="I234" s="561" t="s">
        <v>356</v>
      </c>
      <c r="J234" s="249"/>
      <c r="K234" s="245"/>
      <c r="L234" s="240"/>
      <c r="M234" s="55"/>
    </row>
    <row r="235" spans="1:13" ht="37.5" customHeight="1">
      <c r="A235" s="382">
        <v>232</v>
      </c>
      <c r="B235" s="559">
        <v>41883</v>
      </c>
      <c r="C235" s="241" t="s">
        <v>527</v>
      </c>
      <c r="D235" s="403" t="s">
        <v>375</v>
      </c>
      <c r="E235" s="243">
        <v>670.04</v>
      </c>
      <c r="F235" s="560" t="s">
        <v>207</v>
      </c>
      <c r="G235" s="561" t="s">
        <v>208</v>
      </c>
      <c r="H235" s="242" t="s">
        <v>294</v>
      </c>
      <c r="I235" s="561" t="s">
        <v>313</v>
      </c>
      <c r="J235" s="249"/>
      <c r="K235" s="245"/>
      <c r="L235" s="240"/>
      <c r="M235" s="55"/>
    </row>
    <row r="236" spans="1:13" ht="37.5" customHeight="1">
      <c r="A236" s="382">
        <v>233</v>
      </c>
      <c r="B236" s="559">
        <v>41883</v>
      </c>
      <c r="C236" s="241" t="s">
        <v>528</v>
      </c>
      <c r="D236" s="403" t="s">
        <v>529</v>
      </c>
      <c r="E236" s="243">
        <v>1870.97</v>
      </c>
      <c r="F236" s="560" t="s">
        <v>207</v>
      </c>
      <c r="G236" s="561" t="s">
        <v>208</v>
      </c>
      <c r="H236" s="242" t="s">
        <v>294</v>
      </c>
      <c r="I236" s="561" t="s">
        <v>313</v>
      </c>
      <c r="J236" s="249"/>
      <c r="K236" s="245"/>
      <c r="L236" s="240"/>
      <c r="M236" s="55"/>
    </row>
    <row r="237" spans="1:13" ht="37.5" customHeight="1">
      <c r="A237" s="382">
        <v>234</v>
      </c>
      <c r="B237" s="559">
        <v>41883</v>
      </c>
      <c r="C237" s="241" t="s">
        <v>522</v>
      </c>
      <c r="D237" s="242" t="s">
        <v>451</v>
      </c>
      <c r="E237" s="243">
        <v>329.89</v>
      </c>
      <c r="F237" s="242"/>
      <c r="G237" s="561" t="s">
        <v>430</v>
      </c>
      <c r="H237" s="242" t="s">
        <v>294</v>
      </c>
      <c r="I237" s="561" t="s">
        <v>494</v>
      </c>
      <c r="J237" s="249">
        <f>'GIORNALE DELLE ENTRATE'!$E$86</f>
        <v>26000</v>
      </c>
      <c r="K237" s="245">
        <f>E237-J237</f>
        <v>-25670.11</v>
      </c>
      <c r="L237" s="240"/>
      <c r="M237" s="55"/>
    </row>
    <row r="238" spans="1:13" ht="37.5" customHeight="1">
      <c r="A238" s="382">
        <v>235</v>
      </c>
      <c r="B238" s="559">
        <v>41883</v>
      </c>
      <c r="C238" s="241" t="s">
        <v>645</v>
      </c>
      <c r="D238" s="242" t="s">
        <v>333</v>
      </c>
      <c r="E238" s="243">
        <f>1027.99+225.56</f>
        <v>1253.55</v>
      </c>
      <c r="F238" s="242"/>
      <c r="G238" s="561" t="s">
        <v>430</v>
      </c>
      <c r="H238" s="242" t="s">
        <v>294</v>
      </c>
      <c r="I238" s="561" t="s">
        <v>431</v>
      </c>
      <c r="J238" s="249">
        <f>'GIORNALE DELLE ENTRATE'!E80+'GIORNALE DELLE ENTRATE'!E81+'GIORNALE DELLE ENTRATE'!E82+'GIORNALE DELLE ENTRATE'!E83</f>
        <v>199.42000000000002</v>
      </c>
      <c r="K238" s="245">
        <f>E238+E239-J238</f>
        <v>1054.7199999999998</v>
      </c>
      <c r="L238" s="240"/>
      <c r="M238" s="55"/>
    </row>
    <row r="239" spans="1:13" ht="37.5" customHeight="1">
      <c r="A239" s="382">
        <v>236</v>
      </c>
      <c r="B239" s="559">
        <v>41883</v>
      </c>
      <c r="C239" s="241" t="s">
        <v>646</v>
      </c>
      <c r="D239" s="242" t="s">
        <v>333</v>
      </c>
      <c r="E239" s="243">
        <v>0.59</v>
      </c>
      <c r="F239" s="242"/>
      <c r="G239" s="561" t="s">
        <v>430</v>
      </c>
      <c r="H239" s="242" t="s">
        <v>294</v>
      </c>
      <c r="I239" s="561" t="s">
        <v>431</v>
      </c>
      <c r="J239" s="249"/>
      <c r="K239" s="245"/>
      <c r="L239" s="240"/>
      <c r="M239" s="55"/>
    </row>
    <row r="240" spans="1:13" ht="37.5" customHeight="1">
      <c r="A240" s="382">
        <v>237</v>
      </c>
      <c r="B240" s="559">
        <v>41883</v>
      </c>
      <c r="C240" s="241" t="s">
        <v>647</v>
      </c>
      <c r="D240" s="403" t="s">
        <v>284</v>
      </c>
      <c r="E240" s="243">
        <v>196.76</v>
      </c>
      <c r="F240" s="242"/>
      <c r="G240" s="561" t="s">
        <v>430</v>
      </c>
      <c r="H240" s="242" t="s">
        <v>294</v>
      </c>
      <c r="I240" s="561" t="s">
        <v>431</v>
      </c>
      <c r="J240" s="249"/>
      <c r="K240" s="245"/>
      <c r="L240" s="240"/>
      <c r="M240" s="55"/>
    </row>
    <row r="241" spans="1:13" ht="37.5" customHeight="1">
      <c r="A241" s="382">
        <v>238</v>
      </c>
      <c r="B241" s="559">
        <v>41883</v>
      </c>
      <c r="C241" s="241" t="s">
        <v>648</v>
      </c>
      <c r="D241" s="403" t="s">
        <v>284</v>
      </c>
      <c r="E241" s="243">
        <v>8.34</v>
      </c>
      <c r="F241" s="242"/>
      <c r="G241" s="561" t="s">
        <v>430</v>
      </c>
      <c r="H241" s="242" t="s">
        <v>294</v>
      </c>
      <c r="I241" s="561" t="s">
        <v>431</v>
      </c>
      <c r="J241" s="249"/>
      <c r="K241" s="245"/>
      <c r="L241" s="240"/>
      <c r="M241" s="55"/>
    </row>
    <row r="242" spans="1:13" ht="37.5" customHeight="1">
      <c r="A242" s="382">
        <v>239</v>
      </c>
      <c r="B242" s="559">
        <v>41883</v>
      </c>
      <c r="C242" s="241" t="s">
        <v>687</v>
      </c>
      <c r="D242" s="403" t="s">
        <v>372</v>
      </c>
      <c r="E242" s="243">
        <v>13</v>
      </c>
      <c r="F242" s="560" t="s">
        <v>262</v>
      </c>
      <c r="G242" s="561" t="s">
        <v>263</v>
      </c>
      <c r="H242" s="242" t="s">
        <v>294</v>
      </c>
      <c r="I242" s="561" t="s">
        <v>324</v>
      </c>
      <c r="J242" s="249"/>
      <c r="K242" s="245"/>
      <c r="L242" s="240"/>
      <c r="M242" s="55"/>
    </row>
    <row r="243" spans="1:13" ht="37.5" customHeight="1">
      <c r="A243" s="382">
        <v>240</v>
      </c>
      <c r="B243" s="559">
        <v>41883</v>
      </c>
      <c r="C243" s="241" t="s">
        <v>688</v>
      </c>
      <c r="D243" s="403" t="s">
        <v>372</v>
      </c>
      <c r="E243" s="243">
        <v>14.63</v>
      </c>
      <c r="F243" s="560" t="s">
        <v>262</v>
      </c>
      <c r="G243" s="561" t="s">
        <v>263</v>
      </c>
      <c r="H243" s="242" t="s">
        <v>294</v>
      </c>
      <c r="I243" s="561" t="s">
        <v>298</v>
      </c>
      <c r="J243" s="249"/>
      <c r="K243" s="245"/>
      <c r="L243" s="240"/>
      <c r="M243" s="55"/>
    </row>
    <row r="244" spans="1:13" ht="37.5" customHeight="1">
      <c r="A244" s="382">
        <v>241</v>
      </c>
      <c r="B244" s="559">
        <v>41883</v>
      </c>
      <c r="C244" s="241" t="s">
        <v>520</v>
      </c>
      <c r="D244" s="403" t="s">
        <v>373</v>
      </c>
      <c r="E244" s="243">
        <v>29.5</v>
      </c>
      <c r="F244" s="560" t="s">
        <v>58</v>
      </c>
      <c r="G244" s="561" t="s">
        <v>71</v>
      </c>
      <c r="H244" s="242" t="s">
        <v>294</v>
      </c>
      <c r="I244" s="561" t="s">
        <v>366</v>
      </c>
      <c r="J244" s="249"/>
      <c r="K244" s="245"/>
      <c r="L244" s="240"/>
      <c r="M244" s="55"/>
    </row>
    <row r="245" spans="1:13" ht="37.5" customHeight="1">
      <c r="A245" s="382">
        <v>242</v>
      </c>
      <c r="B245" s="559">
        <v>41883</v>
      </c>
      <c r="C245" s="241" t="s">
        <v>682</v>
      </c>
      <c r="D245" s="403" t="s">
        <v>296</v>
      </c>
      <c r="E245" s="243">
        <v>52</v>
      </c>
      <c r="F245" s="560" t="s">
        <v>79</v>
      </c>
      <c r="G245" s="561" t="s">
        <v>0</v>
      </c>
      <c r="H245" s="242" t="s">
        <v>294</v>
      </c>
      <c r="I245" s="561" t="s">
        <v>336</v>
      </c>
      <c r="J245" s="249"/>
      <c r="K245" s="245"/>
      <c r="L245" s="240"/>
      <c r="M245" s="55"/>
    </row>
    <row r="246" spans="1:13" ht="37.5" customHeight="1">
      <c r="A246" s="382">
        <v>243</v>
      </c>
      <c r="B246" s="559">
        <v>41883</v>
      </c>
      <c r="C246" s="241" t="s">
        <v>683</v>
      </c>
      <c r="D246" s="403" t="s">
        <v>300</v>
      </c>
      <c r="E246" s="243">
        <v>295</v>
      </c>
      <c r="F246" s="560" t="s">
        <v>170</v>
      </c>
      <c r="G246" s="561" t="s">
        <v>44</v>
      </c>
      <c r="H246" s="242" t="s">
        <v>294</v>
      </c>
      <c r="I246" s="561" t="s">
        <v>336</v>
      </c>
      <c r="J246" s="249"/>
      <c r="K246" s="245"/>
      <c r="L246" s="240"/>
      <c r="M246" s="55"/>
    </row>
    <row r="247" spans="1:13" ht="37.5" customHeight="1">
      <c r="A247" s="382">
        <v>244</v>
      </c>
      <c r="B247" s="563">
        <v>41883</v>
      </c>
      <c r="C247" s="564" t="s">
        <v>812</v>
      </c>
      <c r="D247" s="565" t="s">
        <v>293</v>
      </c>
      <c r="E247" s="566">
        <v>6</v>
      </c>
      <c r="F247" s="567" t="s">
        <v>262</v>
      </c>
      <c r="G247" s="568" t="s">
        <v>263</v>
      </c>
      <c r="H247" s="569" t="s">
        <v>294</v>
      </c>
      <c r="I247" s="568" t="s">
        <v>751</v>
      </c>
      <c r="J247" s="570"/>
      <c r="K247" s="571"/>
      <c r="L247" s="572"/>
      <c r="M247" s="55"/>
    </row>
    <row r="248" spans="1:13" ht="37.5" customHeight="1">
      <c r="A248" s="382">
        <v>245</v>
      </c>
      <c r="B248" s="563">
        <v>41885</v>
      </c>
      <c r="C248" s="564" t="s">
        <v>813</v>
      </c>
      <c r="D248" s="565" t="s">
        <v>914</v>
      </c>
      <c r="E248" s="566">
        <v>500</v>
      </c>
      <c r="F248" s="567" t="s">
        <v>262</v>
      </c>
      <c r="G248" s="568" t="s">
        <v>263</v>
      </c>
      <c r="H248" s="569" t="s">
        <v>294</v>
      </c>
      <c r="I248" s="568" t="s">
        <v>751</v>
      </c>
      <c r="J248" s="570"/>
      <c r="K248" s="571"/>
      <c r="L248" s="572"/>
      <c r="M248" s="55"/>
    </row>
    <row r="249" spans="1:13" ht="37.5" customHeight="1">
      <c r="A249" s="382">
        <v>246</v>
      </c>
      <c r="B249" s="563">
        <v>41885</v>
      </c>
      <c r="C249" s="564" t="s">
        <v>814</v>
      </c>
      <c r="D249" s="565" t="s">
        <v>838</v>
      </c>
      <c r="E249" s="566">
        <v>500</v>
      </c>
      <c r="F249" s="567" t="s">
        <v>262</v>
      </c>
      <c r="G249" s="568" t="s">
        <v>263</v>
      </c>
      <c r="H249" s="569" t="s">
        <v>294</v>
      </c>
      <c r="I249" s="568" t="s">
        <v>751</v>
      </c>
      <c r="J249" s="570"/>
      <c r="K249" s="571"/>
      <c r="L249" s="572"/>
      <c r="M249" s="55"/>
    </row>
    <row r="250" spans="1:13" ht="37.5" customHeight="1">
      <c r="A250" s="382">
        <v>247</v>
      </c>
      <c r="B250" s="563">
        <v>41885</v>
      </c>
      <c r="C250" s="564" t="s">
        <v>815</v>
      </c>
      <c r="D250" s="573" t="s">
        <v>915</v>
      </c>
      <c r="E250" s="566">
        <v>914.9</v>
      </c>
      <c r="F250" s="567" t="s">
        <v>262</v>
      </c>
      <c r="G250" s="568" t="s">
        <v>263</v>
      </c>
      <c r="H250" s="569" t="s">
        <v>294</v>
      </c>
      <c r="I250" s="568" t="s">
        <v>751</v>
      </c>
      <c r="J250" s="570"/>
      <c r="K250" s="571"/>
      <c r="L250" s="572"/>
      <c r="M250" s="55"/>
    </row>
    <row r="251" spans="1:13" ht="37.5" customHeight="1">
      <c r="A251" s="382">
        <v>248</v>
      </c>
      <c r="B251" s="563">
        <v>41885</v>
      </c>
      <c r="C251" s="564" t="s">
        <v>816</v>
      </c>
      <c r="D251" s="565" t="s">
        <v>916</v>
      </c>
      <c r="E251" s="566">
        <v>859.8</v>
      </c>
      <c r="F251" s="567" t="s">
        <v>262</v>
      </c>
      <c r="G251" s="568" t="s">
        <v>263</v>
      </c>
      <c r="H251" s="569" t="s">
        <v>294</v>
      </c>
      <c r="I251" s="568" t="s">
        <v>751</v>
      </c>
      <c r="J251" s="570"/>
      <c r="K251" s="571"/>
      <c r="L251" s="572"/>
      <c r="M251" s="55"/>
    </row>
    <row r="252" spans="1:13" ht="37.5" customHeight="1">
      <c r="A252" s="382">
        <v>249</v>
      </c>
      <c r="B252" s="563">
        <v>41885</v>
      </c>
      <c r="C252" s="564" t="s">
        <v>817</v>
      </c>
      <c r="D252" s="565" t="s">
        <v>917</v>
      </c>
      <c r="E252" s="566">
        <v>2158.97</v>
      </c>
      <c r="F252" s="567" t="s">
        <v>262</v>
      </c>
      <c r="G252" s="568" t="s">
        <v>263</v>
      </c>
      <c r="H252" s="569" t="s">
        <v>294</v>
      </c>
      <c r="I252" s="568" t="s">
        <v>751</v>
      </c>
      <c r="J252" s="570"/>
      <c r="K252" s="571"/>
      <c r="L252" s="572"/>
      <c r="M252" s="55"/>
    </row>
    <row r="253" spans="1:13" ht="37.5" customHeight="1">
      <c r="A253" s="382">
        <v>250</v>
      </c>
      <c r="B253" s="563">
        <v>41885</v>
      </c>
      <c r="C253" s="564" t="s">
        <v>818</v>
      </c>
      <c r="D253" s="565" t="s">
        <v>918</v>
      </c>
      <c r="E253" s="566">
        <v>1052.5</v>
      </c>
      <c r="F253" s="567" t="s">
        <v>262</v>
      </c>
      <c r="G253" s="568" t="s">
        <v>263</v>
      </c>
      <c r="H253" s="569" t="s">
        <v>294</v>
      </c>
      <c r="I253" s="568" t="s">
        <v>751</v>
      </c>
      <c r="J253" s="570"/>
      <c r="K253" s="571"/>
      <c r="L253" s="572"/>
      <c r="M253" s="55"/>
    </row>
    <row r="254" spans="1:13" ht="37.5" customHeight="1">
      <c r="A254" s="382">
        <v>251</v>
      </c>
      <c r="B254" s="563">
        <v>41885</v>
      </c>
      <c r="C254" s="564" t="s">
        <v>819</v>
      </c>
      <c r="D254" s="565" t="s">
        <v>919</v>
      </c>
      <c r="E254" s="566">
        <v>876.73</v>
      </c>
      <c r="F254" s="567" t="s">
        <v>262</v>
      </c>
      <c r="G254" s="568" t="s">
        <v>263</v>
      </c>
      <c r="H254" s="569" t="s">
        <v>294</v>
      </c>
      <c r="I254" s="568" t="s">
        <v>751</v>
      </c>
      <c r="J254" s="570"/>
      <c r="K254" s="571"/>
      <c r="L254" s="572"/>
      <c r="M254" s="55"/>
    </row>
    <row r="255" spans="1:13" ht="37.5" customHeight="1">
      <c r="A255" s="382">
        <v>252</v>
      </c>
      <c r="B255" s="563">
        <v>41885</v>
      </c>
      <c r="C255" s="564" t="s">
        <v>820</v>
      </c>
      <c r="D255" s="565" t="s">
        <v>838</v>
      </c>
      <c r="E255" s="566">
        <v>847.17</v>
      </c>
      <c r="F255" s="567" t="s">
        <v>262</v>
      </c>
      <c r="G255" s="568" t="s">
        <v>263</v>
      </c>
      <c r="H255" s="569" t="s">
        <v>294</v>
      </c>
      <c r="I255" s="568" t="s">
        <v>751</v>
      </c>
      <c r="J255" s="570"/>
      <c r="K255" s="571"/>
      <c r="L255" s="572"/>
      <c r="M255" s="55"/>
    </row>
    <row r="256" spans="1:13" ht="37.5" customHeight="1">
      <c r="A256" s="382">
        <v>253</v>
      </c>
      <c r="B256" s="563">
        <v>41885</v>
      </c>
      <c r="C256" s="564" t="s">
        <v>821</v>
      </c>
      <c r="D256" s="565" t="s">
        <v>920</v>
      </c>
      <c r="E256" s="566">
        <v>968.43</v>
      </c>
      <c r="F256" s="567" t="s">
        <v>262</v>
      </c>
      <c r="G256" s="568" t="s">
        <v>263</v>
      </c>
      <c r="H256" s="569" t="s">
        <v>294</v>
      </c>
      <c r="I256" s="568" t="s">
        <v>751</v>
      </c>
      <c r="J256" s="570"/>
      <c r="K256" s="571"/>
      <c r="L256" s="572"/>
      <c r="M256" s="55"/>
    </row>
    <row r="257" spans="1:13" ht="37.5" customHeight="1">
      <c r="A257" s="382">
        <v>254</v>
      </c>
      <c r="B257" s="563">
        <v>41885</v>
      </c>
      <c r="C257" s="564" t="s">
        <v>822</v>
      </c>
      <c r="D257" s="565" t="s">
        <v>921</v>
      </c>
      <c r="E257" s="566">
        <v>1038.81</v>
      </c>
      <c r="F257" s="567" t="s">
        <v>262</v>
      </c>
      <c r="G257" s="568" t="s">
        <v>263</v>
      </c>
      <c r="H257" s="569" t="s">
        <v>294</v>
      </c>
      <c r="I257" s="568" t="s">
        <v>751</v>
      </c>
      <c r="J257" s="570"/>
      <c r="K257" s="571"/>
      <c r="L257" s="572"/>
      <c r="M257" s="55"/>
    </row>
    <row r="258" spans="1:13" ht="37.5" customHeight="1">
      <c r="A258" s="382">
        <v>255</v>
      </c>
      <c r="B258" s="563">
        <v>41885</v>
      </c>
      <c r="C258" s="564" t="s">
        <v>823</v>
      </c>
      <c r="D258" s="565" t="s">
        <v>857</v>
      </c>
      <c r="E258" s="566">
        <v>465.98</v>
      </c>
      <c r="F258" s="567" t="s">
        <v>262</v>
      </c>
      <c r="G258" s="568" t="s">
        <v>263</v>
      </c>
      <c r="H258" s="569" t="s">
        <v>294</v>
      </c>
      <c r="I258" s="568" t="s">
        <v>751</v>
      </c>
      <c r="J258" s="570"/>
      <c r="K258" s="571"/>
      <c r="L258" s="572"/>
      <c r="M258" s="55"/>
    </row>
    <row r="259" spans="1:13" ht="37.5" customHeight="1">
      <c r="A259" s="382">
        <v>256</v>
      </c>
      <c r="B259" s="563">
        <v>41885</v>
      </c>
      <c r="C259" s="564" t="s">
        <v>824</v>
      </c>
      <c r="D259" s="565"/>
      <c r="E259" s="566">
        <v>818.04</v>
      </c>
      <c r="F259" s="567" t="s">
        <v>262</v>
      </c>
      <c r="G259" s="568" t="s">
        <v>263</v>
      </c>
      <c r="H259" s="569" t="s">
        <v>294</v>
      </c>
      <c r="I259" s="568" t="s">
        <v>751</v>
      </c>
      <c r="J259" s="570"/>
      <c r="K259" s="571"/>
      <c r="L259" s="572"/>
      <c r="M259" s="55"/>
    </row>
    <row r="260" spans="1:13" ht="37.5" customHeight="1">
      <c r="A260" s="382">
        <v>257</v>
      </c>
      <c r="B260" s="563">
        <v>41885</v>
      </c>
      <c r="C260" s="564" t="s">
        <v>825</v>
      </c>
      <c r="D260" s="565" t="s">
        <v>897</v>
      </c>
      <c r="E260" s="566">
        <v>672.92</v>
      </c>
      <c r="F260" s="567" t="s">
        <v>262</v>
      </c>
      <c r="G260" s="568" t="s">
        <v>263</v>
      </c>
      <c r="H260" s="569" t="s">
        <v>294</v>
      </c>
      <c r="I260" s="568" t="s">
        <v>751</v>
      </c>
      <c r="J260" s="570"/>
      <c r="K260" s="571"/>
      <c r="L260" s="572"/>
      <c r="M260" s="55"/>
    </row>
    <row r="261" spans="1:13" ht="37.5" customHeight="1">
      <c r="A261" s="382">
        <v>258</v>
      </c>
      <c r="B261" s="563">
        <v>41885</v>
      </c>
      <c r="C261" s="564" t="s">
        <v>826</v>
      </c>
      <c r="D261" s="565" t="s">
        <v>922</v>
      </c>
      <c r="E261" s="566">
        <v>895</v>
      </c>
      <c r="F261" s="567" t="s">
        <v>262</v>
      </c>
      <c r="G261" s="568" t="s">
        <v>263</v>
      </c>
      <c r="H261" s="569" t="s">
        <v>294</v>
      </c>
      <c r="I261" s="568" t="s">
        <v>751</v>
      </c>
      <c r="J261" s="570"/>
      <c r="K261" s="571"/>
      <c r="L261" s="572"/>
      <c r="M261" s="55"/>
    </row>
    <row r="262" spans="1:13" ht="37.5" customHeight="1">
      <c r="A262" s="382">
        <v>259</v>
      </c>
      <c r="B262" s="563">
        <v>41885</v>
      </c>
      <c r="C262" s="564" t="s">
        <v>827</v>
      </c>
      <c r="D262" s="565" t="s">
        <v>923</v>
      </c>
      <c r="E262" s="566">
        <v>564.21</v>
      </c>
      <c r="F262" s="567" t="s">
        <v>262</v>
      </c>
      <c r="G262" s="568" t="s">
        <v>263</v>
      </c>
      <c r="H262" s="569" t="s">
        <v>294</v>
      </c>
      <c r="I262" s="568" t="s">
        <v>751</v>
      </c>
      <c r="J262" s="570"/>
      <c r="K262" s="571"/>
      <c r="L262" s="572"/>
      <c r="M262" s="55"/>
    </row>
    <row r="263" spans="1:13" ht="37.5" customHeight="1">
      <c r="A263" s="382">
        <v>260</v>
      </c>
      <c r="B263" s="563">
        <v>41885</v>
      </c>
      <c r="C263" s="564" t="s">
        <v>828</v>
      </c>
      <c r="D263" s="565" t="s">
        <v>924</v>
      </c>
      <c r="E263" s="566">
        <v>696.1</v>
      </c>
      <c r="F263" s="567" t="s">
        <v>262</v>
      </c>
      <c r="G263" s="568" t="s">
        <v>263</v>
      </c>
      <c r="H263" s="569" t="s">
        <v>294</v>
      </c>
      <c r="I263" s="568" t="s">
        <v>751</v>
      </c>
      <c r="J263" s="570"/>
      <c r="K263" s="571"/>
      <c r="L263" s="572"/>
      <c r="M263" s="55"/>
    </row>
    <row r="264" spans="1:13" ht="37.5" customHeight="1">
      <c r="A264" s="382">
        <v>261</v>
      </c>
      <c r="B264" s="563">
        <v>41885</v>
      </c>
      <c r="C264" s="564" t="s">
        <v>829</v>
      </c>
      <c r="D264" s="565" t="s">
        <v>925</v>
      </c>
      <c r="E264" s="566">
        <v>1000</v>
      </c>
      <c r="F264" s="567" t="s">
        <v>262</v>
      </c>
      <c r="G264" s="568" t="s">
        <v>263</v>
      </c>
      <c r="H264" s="569" t="s">
        <v>294</v>
      </c>
      <c r="I264" s="568" t="s">
        <v>751</v>
      </c>
      <c r="J264" s="570"/>
      <c r="K264" s="571"/>
      <c r="L264" s="572"/>
      <c r="M264" s="55"/>
    </row>
    <row r="265" spans="1:13" ht="37.5" customHeight="1">
      <c r="A265" s="382">
        <v>262</v>
      </c>
      <c r="B265" s="563">
        <v>41885</v>
      </c>
      <c r="C265" s="564" t="s">
        <v>830</v>
      </c>
      <c r="D265" s="565" t="s">
        <v>926</v>
      </c>
      <c r="E265" s="566">
        <v>2260</v>
      </c>
      <c r="F265" s="567" t="s">
        <v>262</v>
      </c>
      <c r="G265" s="568" t="s">
        <v>263</v>
      </c>
      <c r="H265" s="569" t="s">
        <v>294</v>
      </c>
      <c r="I265" s="568" t="s">
        <v>751</v>
      </c>
      <c r="J265" s="570"/>
      <c r="K265" s="571"/>
      <c r="L265" s="572"/>
      <c r="M265" s="55"/>
    </row>
    <row r="266" spans="1:13" ht="37.5" customHeight="1">
      <c r="A266" s="382">
        <v>263</v>
      </c>
      <c r="B266" s="563">
        <v>41885</v>
      </c>
      <c r="C266" s="564" t="s">
        <v>831</v>
      </c>
      <c r="D266" s="565" t="s">
        <v>927</v>
      </c>
      <c r="E266" s="566">
        <v>600</v>
      </c>
      <c r="F266" s="567" t="s">
        <v>262</v>
      </c>
      <c r="G266" s="568" t="s">
        <v>263</v>
      </c>
      <c r="H266" s="569" t="s">
        <v>294</v>
      </c>
      <c r="I266" s="568" t="s">
        <v>751</v>
      </c>
      <c r="J266" s="570"/>
      <c r="K266" s="571"/>
      <c r="L266" s="572"/>
      <c r="M266" s="55"/>
    </row>
    <row r="267" spans="1:13" ht="37.5" customHeight="1">
      <c r="A267" s="382">
        <v>264</v>
      </c>
      <c r="B267" s="563">
        <v>41885</v>
      </c>
      <c r="C267" s="564" t="s">
        <v>832</v>
      </c>
      <c r="D267" s="565" t="s">
        <v>928</v>
      </c>
      <c r="E267" s="566">
        <v>800</v>
      </c>
      <c r="F267" s="567" t="s">
        <v>262</v>
      </c>
      <c r="G267" s="568" t="s">
        <v>263</v>
      </c>
      <c r="H267" s="569" t="s">
        <v>294</v>
      </c>
      <c r="I267" s="568" t="s">
        <v>751</v>
      </c>
      <c r="J267" s="570"/>
      <c r="K267" s="571"/>
      <c r="L267" s="572"/>
      <c r="M267" s="55"/>
    </row>
    <row r="268" spans="1:13" ht="37.5" customHeight="1">
      <c r="A268" s="382">
        <v>265</v>
      </c>
      <c r="B268" s="559">
        <v>41887</v>
      </c>
      <c r="C268" s="241" t="s">
        <v>530</v>
      </c>
      <c r="D268" s="403" t="s">
        <v>453</v>
      </c>
      <c r="E268" s="243">
        <v>2500</v>
      </c>
      <c r="F268" s="560" t="s">
        <v>52</v>
      </c>
      <c r="G268" s="561" t="s">
        <v>126</v>
      </c>
      <c r="H268" s="242" t="s">
        <v>294</v>
      </c>
      <c r="I268" s="561" t="s">
        <v>366</v>
      </c>
      <c r="J268" s="249"/>
      <c r="K268" s="245"/>
      <c r="L268" s="240"/>
      <c r="M268" s="55"/>
    </row>
    <row r="269" spans="1:13" ht="37.5" customHeight="1">
      <c r="A269" s="382">
        <v>266</v>
      </c>
      <c r="B269" s="563">
        <v>41894</v>
      </c>
      <c r="C269" s="564" t="s">
        <v>833</v>
      </c>
      <c r="D269" s="565" t="s">
        <v>284</v>
      </c>
      <c r="E269" s="566">
        <v>7500</v>
      </c>
      <c r="F269" s="567" t="s">
        <v>262</v>
      </c>
      <c r="G269" s="568" t="s">
        <v>263</v>
      </c>
      <c r="H269" s="569" t="s">
        <v>294</v>
      </c>
      <c r="I269" s="568" t="s">
        <v>751</v>
      </c>
      <c r="J269" s="570"/>
      <c r="K269" s="571"/>
      <c r="L269" s="572"/>
      <c r="M269" s="55"/>
    </row>
    <row r="270" spans="1:13" ht="37.5" customHeight="1">
      <c r="A270" s="382">
        <v>267</v>
      </c>
      <c r="B270" s="559">
        <v>41899</v>
      </c>
      <c r="C270" s="241" t="s">
        <v>533</v>
      </c>
      <c r="D270" s="403" t="s">
        <v>373</v>
      </c>
      <c r="E270" s="243">
        <v>247.88</v>
      </c>
      <c r="F270" s="560" t="s">
        <v>207</v>
      </c>
      <c r="G270" s="561" t="s">
        <v>208</v>
      </c>
      <c r="H270" s="242" t="s">
        <v>294</v>
      </c>
      <c r="I270" s="561" t="s">
        <v>356</v>
      </c>
      <c r="J270" s="249"/>
      <c r="K270" s="245"/>
      <c r="L270" s="240"/>
      <c r="M270" s="55"/>
    </row>
    <row r="271" spans="1:13" ht="37.5" customHeight="1">
      <c r="A271" s="382">
        <v>268</v>
      </c>
      <c r="B271" s="559">
        <v>41899</v>
      </c>
      <c r="C271" s="241" t="s">
        <v>541</v>
      </c>
      <c r="D271" s="403" t="s">
        <v>388</v>
      </c>
      <c r="E271" s="243">
        <v>59</v>
      </c>
      <c r="F271" s="560" t="s">
        <v>207</v>
      </c>
      <c r="G271" s="561" t="s">
        <v>208</v>
      </c>
      <c r="H271" s="242" t="s">
        <v>294</v>
      </c>
      <c r="I271" s="561" t="s">
        <v>385</v>
      </c>
      <c r="J271" s="249"/>
      <c r="K271" s="245"/>
      <c r="L271" s="240"/>
      <c r="M271" s="55"/>
    </row>
    <row r="272" spans="1:13" ht="37.5" customHeight="1">
      <c r="A272" s="382">
        <v>269</v>
      </c>
      <c r="B272" s="559">
        <v>41899</v>
      </c>
      <c r="C272" s="241" t="s">
        <v>534</v>
      </c>
      <c r="D272" s="403" t="s">
        <v>325</v>
      </c>
      <c r="E272" s="243">
        <v>19549.15</v>
      </c>
      <c r="F272" s="560" t="s">
        <v>262</v>
      </c>
      <c r="G272" s="561" t="s">
        <v>263</v>
      </c>
      <c r="H272" s="242" t="s">
        <v>294</v>
      </c>
      <c r="I272" s="561" t="s">
        <v>324</v>
      </c>
      <c r="J272" s="249"/>
      <c r="K272" s="245"/>
      <c r="L272" s="240"/>
      <c r="M272" s="55"/>
    </row>
    <row r="273" spans="1:13" ht="37.5" customHeight="1">
      <c r="A273" s="382">
        <v>270</v>
      </c>
      <c r="B273" s="559">
        <v>41899</v>
      </c>
      <c r="C273" s="241" t="s">
        <v>535</v>
      </c>
      <c r="D273" s="403" t="s">
        <v>542</v>
      </c>
      <c r="E273" s="243">
        <v>6410.66</v>
      </c>
      <c r="F273" s="560" t="s">
        <v>262</v>
      </c>
      <c r="G273" s="561" t="s">
        <v>263</v>
      </c>
      <c r="H273" s="242" t="s">
        <v>294</v>
      </c>
      <c r="I273" s="561" t="s">
        <v>324</v>
      </c>
      <c r="J273" s="249"/>
      <c r="K273" s="245">
        <f>SUM(E232:E278)</f>
        <v>87022.85</v>
      </c>
      <c r="L273" s="240"/>
      <c r="M273" s="55"/>
    </row>
    <row r="274" spans="1:13" ht="37.5" customHeight="1">
      <c r="A274" s="382">
        <v>271</v>
      </c>
      <c r="B274" s="559">
        <v>41899</v>
      </c>
      <c r="C274" s="241" t="s">
        <v>536</v>
      </c>
      <c r="D274" s="403" t="s">
        <v>380</v>
      </c>
      <c r="E274" s="243">
        <v>8292.77</v>
      </c>
      <c r="F274" s="560" t="s">
        <v>262</v>
      </c>
      <c r="G274" s="561" t="s">
        <v>263</v>
      </c>
      <c r="H274" s="242" t="s">
        <v>294</v>
      </c>
      <c r="I274" s="561" t="s">
        <v>324</v>
      </c>
      <c r="J274" s="249"/>
      <c r="K274" s="245"/>
      <c r="L274" s="240"/>
      <c r="M274" s="55"/>
    </row>
    <row r="275" spans="1:13" ht="37.5" customHeight="1">
      <c r="A275" s="382">
        <v>272</v>
      </c>
      <c r="B275" s="559">
        <v>41899</v>
      </c>
      <c r="C275" s="241" t="s">
        <v>537</v>
      </c>
      <c r="D275" s="403" t="s">
        <v>327</v>
      </c>
      <c r="E275" s="243">
        <v>8641.35</v>
      </c>
      <c r="F275" s="560" t="s">
        <v>262</v>
      </c>
      <c r="G275" s="561" t="s">
        <v>263</v>
      </c>
      <c r="H275" s="242" t="s">
        <v>294</v>
      </c>
      <c r="I275" s="561" t="s">
        <v>324</v>
      </c>
      <c r="J275" s="249"/>
      <c r="K275" s="245"/>
      <c r="L275" s="240"/>
      <c r="M275" s="55"/>
    </row>
    <row r="276" spans="1:13" ht="37.5" customHeight="1">
      <c r="A276" s="382">
        <v>273</v>
      </c>
      <c r="B276" s="559">
        <v>41899</v>
      </c>
      <c r="C276" s="241" t="s">
        <v>538</v>
      </c>
      <c r="D276" s="403" t="s">
        <v>543</v>
      </c>
      <c r="E276" s="243">
        <v>7120.15</v>
      </c>
      <c r="F276" s="560" t="s">
        <v>262</v>
      </c>
      <c r="G276" s="561" t="s">
        <v>263</v>
      </c>
      <c r="H276" s="242" t="s">
        <v>294</v>
      </c>
      <c r="I276" s="561" t="s">
        <v>324</v>
      </c>
      <c r="J276" s="249"/>
      <c r="K276" s="245"/>
      <c r="L276" s="240"/>
      <c r="M276" s="55"/>
    </row>
    <row r="277" spans="1:13" ht="37.5" customHeight="1">
      <c r="A277" s="382">
        <v>274</v>
      </c>
      <c r="B277" s="559">
        <v>41899</v>
      </c>
      <c r="C277" s="241" t="s">
        <v>539</v>
      </c>
      <c r="D277" s="403" t="s">
        <v>326</v>
      </c>
      <c r="E277" s="243">
        <v>3153.75</v>
      </c>
      <c r="F277" s="560" t="s">
        <v>262</v>
      </c>
      <c r="G277" s="561" t="s">
        <v>263</v>
      </c>
      <c r="H277" s="242" t="s">
        <v>294</v>
      </c>
      <c r="I277" s="561" t="s">
        <v>324</v>
      </c>
      <c r="J277" s="249"/>
      <c r="K277" s="245"/>
      <c r="L277" s="240"/>
      <c r="M277" s="55"/>
    </row>
    <row r="278" spans="1:13" ht="37.5" customHeight="1">
      <c r="A278" s="382">
        <v>275</v>
      </c>
      <c r="B278" s="559">
        <v>41899</v>
      </c>
      <c r="C278" s="241" t="s">
        <v>540</v>
      </c>
      <c r="D278" s="403" t="s">
        <v>388</v>
      </c>
      <c r="E278" s="243">
        <v>70.5</v>
      </c>
      <c r="F278" s="560" t="s">
        <v>58</v>
      </c>
      <c r="G278" s="561" t="s">
        <v>71</v>
      </c>
      <c r="H278" s="242" t="s">
        <v>294</v>
      </c>
      <c r="I278" s="561" t="s">
        <v>366</v>
      </c>
      <c r="J278" s="249"/>
      <c r="K278" s="245"/>
      <c r="L278" s="240"/>
      <c r="M278" s="55"/>
    </row>
    <row r="279" spans="1:13" ht="37.5" customHeight="1">
      <c r="A279" s="382">
        <v>276</v>
      </c>
      <c r="B279" s="563">
        <v>41912</v>
      </c>
      <c r="C279" s="564" t="s">
        <v>386</v>
      </c>
      <c r="D279" s="565" t="s">
        <v>293</v>
      </c>
      <c r="E279" s="566">
        <v>0.04</v>
      </c>
      <c r="F279" s="567" t="s">
        <v>60</v>
      </c>
      <c r="G279" s="568" t="s">
        <v>138</v>
      </c>
      <c r="H279" s="569" t="s">
        <v>294</v>
      </c>
      <c r="I279" s="568" t="s">
        <v>751</v>
      </c>
      <c r="J279" s="570"/>
      <c r="K279" s="571"/>
      <c r="L279" s="572"/>
      <c r="M279" s="55"/>
    </row>
    <row r="280" spans="1:13" ht="37.5" customHeight="1" thickBot="1">
      <c r="A280" s="382">
        <v>277</v>
      </c>
      <c r="B280" s="563">
        <v>41912</v>
      </c>
      <c r="C280" s="564" t="s">
        <v>386</v>
      </c>
      <c r="D280" s="565" t="s">
        <v>293</v>
      </c>
      <c r="E280" s="566">
        <v>0.04</v>
      </c>
      <c r="F280" s="567" t="s">
        <v>262</v>
      </c>
      <c r="G280" s="568" t="s">
        <v>263</v>
      </c>
      <c r="H280" s="569" t="s">
        <v>294</v>
      </c>
      <c r="I280" s="568" t="s">
        <v>751</v>
      </c>
      <c r="J280" s="570"/>
      <c r="K280" s="571"/>
      <c r="L280" s="572"/>
      <c r="M280" s="55"/>
    </row>
    <row r="281" spans="1:13" ht="37.5" customHeight="1" thickTop="1">
      <c r="A281" s="382">
        <v>278</v>
      </c>
      <c r="B281" s="559">
        <v>41913</v>
      </c>
      <c r="C281" s="241" t="s">
        <v>985</v>
      </c>
      <c r="D281" s="403" t="s">
        <v>293</v>
      </c>
      <c r="E281" s="243">
        <v>5.85</v>
      </c>
      <c r="F281" s="355" t="s">
        <v>1070</v>
      </c>
      <c r="G281" s="356" t="s">
        <v>243</v>
      </c>
      <c r="H281" s="242" t="s">
        <v>294</v>
      </c>
      <c r="I281" s="561" t="s">
        <v>366</v>
      </c>
      <c r="J281" s="249"/>
      <c r="K281" s="245"/>
      <c r="L281" s="240"/>
      <c r="M281" s="55"/>
    </row>
    <row r="282" spans="1:13" ht="37.5" customHeight="1">
      <c r="A282" s="382">
        <v>279</v>
      </c>
      <c r="B282" s="559">
        <v>41913</v>
      </c>
      <c r="C282" s="241" t="s">
        <v>387</v>
      </c>
      <c r="D282" s="403" t="s">
        <v>293</v>
      </c>
      <c r="E282" s="243">
        <v>25.2</v>
      </c>
      <c r="F282" s="560" t="s">
        <v>141</v>
      </c>
      <c r="G282" s="581" t="s">
        <v>142</v>
      </c>
      <c r="H282" s="242" t="s">
        <v>294</v>
      </c>
      <c r="I282" s="561" t="s">
        <v>366</v>
      </c>
      <c r="J282" s="249"/>
      <c r="K282" s="245"/>
      <c r="L282" s="240"/>
      <c r="M282" s="55"/>
    </row>
    <row r="283" spans="1:13" s="188" customFormat="1" ht="37.5" customHeight="1">
      <c r="A283" s="382">
        <v>280</v>
      </c>
      <c r="B283" s="563">
        <v>41913</v>
      </c>
      <c r="C283" s="564" t="s">
        <v>983</v>
      </c>
      <c r="D283" s="565" t="s">
        <v>293</v>
      </c>
      <c r="E283" s="566">
        <v>6</v>
      </c>
      <c r="F283" s="567" t="s">
        <v>262</v>
      </c>
      <c r="G283" s="568" t="s">
        <v>263</v>
      </c>
      <c r="H283" s="569" t="s">
        <v>294</v>
      </c>
      <c r="I283" s="568" t="s">
        <v>751</v>
      </c>
      <c r="J283" s="570"/>
      <c r="K283" s="571"/>
      <c r="L283" s="572"/>
      <c r="M283" s="197"/>
    </row>
    <row r="284" spans="1:13" s="188" customFormat="1" ht="37.5" customHeight="1">
      <c r="A284" s="382">
        <v>281</v>
      </c>
      <c r="B284" s="563">
        <v>41913</v>
      </c>
      <c r="C284" s="564" t="s">
        <v>387</v>
      </c>
      <c r="D284" s="565" t="s">
        <v>293</v>
      </c>
      <c r="E284" s="566">
        <v>25.2</v>
      </c>
      <c r="F284" s="567" t="s">
        <v>262</v>
      </c>
      <c r="G284" s="568" t="s">
        <v>263</v>
      </c>
      <c r="H284" s="569" t="s">
        <v>294</v>
      </c>
      <c r="I284" s="568" t="s">
        <v>751</v>
      </c>
      <c r="J284" s="570"/>
      <c r="K284" s="571"/>
      <c r="L284" s="572"/>
      <c r="M284" s="197"/>
    </row>
    <row r="285" spans="1:13" s="188" customFormat="1" ht="37.5" customHeight="1">
      <c r="A285" s="382">
        <v>282</v>
      </c>
      <c r="B285" s="559">
        <v>41918</v>
      </c>
      <c r="C285" s="241" t="s">
        <v>986</v>
      </c>
      <c r="D285" s="403" t="s">
        <v>599</v>
      </c>
      <c r="E285" s="243">
        <v>200</v>
      </c>
      <c r="F285" s="560"/>
      <c r="G285" s="561" t="s">
        <v>545</v>
      </c>
      <c r="H285" s="242" t="s">
        <v>294</v>
      </c>
      <c r="I285" s="561" t="s">
        <v>693</v>
      </c>
      <c r="J285" s="249"/>
      <c r="K285" s="245"/>
      <c r="L285" s="240"/>
      <c r="M285" s="197"/>
    </row>
    <row r="286" spans="1:13" s="188" customFormat="1" ht="37.5" customHeight="1">
      <c r="A286" s="382">
        <v>283</v>
      </c>
      <c r="B286" s="559">
        <v>41922</v>
      </c>
      <c r="C286" s="241" t="s">
        <v>987</v>
      </c>
      <c r="D286" s="403" t="s">
        <v>388</v>
      </c>
      <c r="E286" s="243">
        <v>803.15</v>
      </c>
      <c r="F286" s="560" t="s">
        <v>207</v>
      </c>
      <c r="G286" s="561" t="s">
        <v>208</v>
      </c>
      <c r="H286" s="242" t="s">
        <v>294</v>
      </c>
      <c r="I286" s="561" t="s">
        <v>715</v>
      </c>
      <c r="J286" s="249"/>
      <c r="K286" s="245"/>
      <c r="L286" s="240"/>
      <c r="M286" s="197"/>
    </row>
    <row r="287" spans="1:13" s="188" customFormat="1" ht="37.5" customHeight="1">
      <c r="A287" s="382">
        <v>284</v>
      </c>
      <c r="B287" s="559">
        <v>41922</v>
      </c>
      <c r="C287" s="241" t="s">
        <v>988</v>
      </c>
      <c r="D287" s="403" t="s">
        <v>388</v>
      </c>
      <c r="E287" s="243">
        <v>698.41</v>
      </c>
      <c r="F287" s="560" t="s">
        <v>207</v>
      </c>
      <c r="G287" s="561" t="s">
        <v>208</v>
      </c>
      <c r="H287" s="242" t="s">
        <v>294</v>
      </c>
      <c r="I287" s="561" t="s">
        <v>715</v>
      </c>
      <c r="J287" s="249"/>
      <c r="K287" s="245"/>
      <c r="L287" s="240"/>
      <c r="M287" s="197"/>
    </row>
    <row r="288" spans="1:13" s="188" customFormat="1" ht="37.5" customHeight="1">
      <c r="A288" s="382">
        <v>285</v>
      </c>
      <c r="B288" s="559">
        <v>41928</v>
      </c>
      <c r="C288" s="241" t="s">
        <v>997</v>
      </c>
      <c r="D288" s="403" t="s">
        <v>296</v>
      </c>
      <c r="E288" s="243">
        <v>52</v>
      </c>
      <c r="F288" s="560" t="s">
        <v>79</v>
      </c>
      <c r="G288" s="561" t="s">
        <v>0</v>
      </c>
      <c r="H288" s="242" t="s">
        <v>294</v>
      </c>
      <c r="I288" s="561" t="s">
        <v>336</v>
      </c>
      <c r="J288" s="249"/>
      <c r="K288" s="245"/>
      <c r="L288" s="240"/>
      <c r="M288" s="197"/>
    </row>
    <row r="289" spans="1:13" s="188" customFormat="1" ht="37.5" customHeight="1">
      <c r="A289" s="382">
        <v>286</v>
      </c>
      <c r="B289" s="559">
        <v>41928</v>
      </c>
      <c r="C289" s="241" t="s">
        <v>998</v>
      </c>
      <c r="D289" s="403" t="s">
        <v>300</v>
      </c>
      <c r="E289" s="243">
        <v>67</v>
      </c>
      <c r="F289" s="560" t="s">
        <v>170</v>
      </c>
      <c r="G289" s="561" t="s">
        <v>44</v>
      </c>
      <c r="H289" s="242" t="s">
        <v>294</v>
      </c>
      <c r="I289" s="561" t="s">
        <v>336</v>
      </c>
      <c r="J289" s="249"/>
      <c r="K289" s="245"/>
      <c r="L289" s="240"/>
      <c r="M289" s="197"/>
    </row>
    <row r="290" spans="1:13" ht="37.5" customHeight="1">
      <c r="A290" s="382">
        <v>287</v>
      </c>
      <c r="B290" s="559">
        <v>41928</v>
      </c>
      <c r="C290" s="241" t="s">
        <v>996</v>
      </c>
      <c r="D290" s="403" t="s">
        <v>296</v>
      </c>
      <c r="E290" s="243">
        <v>500</v>
      </c>
      <c r="F290" s="158" t="s">
        <v>79</v>
      </c>
      <c r="G290" s="561" t="s">
        <v>0</v>
      </c>
      <c r="H290" s="242" t="s">
        <v>294</v>
      </c>
      <c r="I290" s="561" t="s">
        <v>336</v>
      </c>
      <c r="J290" s="249"/>
      <c r="K290" s="245"/>
      <c r="L290" s="240"/>
      <c r="M290" s="55"/>
    </row>
    <row r="291" spans="1:13" ht="37.5" customHeight="1">
      <c r="A291" s="382">
        <v>288</v>
      </c>
      <c r="B291" s="559">
        <v>41934</v>
      </c>
      <c r="C291" s="241" t="s">
        <v>936</v>
      </c>
      <c r="D291" s="403" t="s">
        <v>367</v>
      </c>
      <c r="E291" s="243">
        <v>4270</v>
      </c>
      <c r="F291" s="560" t="s">
        <v>207</v>
      </c>
      <c r="G291" s="561" t="s">
        <v>208</v>
      </c>
      <c r="H291" s="242" t="s">
        <v>294</v>
      </c>
      <c r="I291" s="561" t="s">
        <v>385</v>
      </c>
      <c r="J291" s="248"/>
      <c r="K291" s="245"/>
      <c r="L291" s="240"/>
      <c r="M291" s="55"/>
    </row>
    <row r="292" spans="1:13" ht="37.5" customHeight="1" thickBot="1">
      <c r="A292" s="382">
        <v>289</v>
      </c>
      <c r="B292" s="559">
        <v>41934</v>
      </c>
      <c r="C292" s="241" t="s">
        <v>937</v>
      </c>
      <c r="D292" s="403" t="s">
        <v>367</v>
      </c>
      <c r="E292" s="243">
        <v>6710</v>
      </c>
      <c r="F292" s="560" t="s">
        <v>207</v>
      </c>
      <c r="G292" s="561" t="s">
        <v>208</v>
      </c>
      <c r="H292" s="242" t="s">
        <v>294</v>
      </c>
      <c r="I292" s="561" t="s">
        <v>385</v>
      </c>
      <c r="J292" s="248"/>
      <c r="K292" s="245"/>
      <c r="L292" s="240"/>
      <c r="M292" s="55"/>
    </row>
    <row r="293" spans="1:13" s="188" customFormat="1" ht="37.5" customHeight="1" thickTop="1">
      <c r="A293" s="382">
        <v>290</v>
      </c>
      <c r="B293" s="559">
        <v>41946</v>
      </c>
      <c r="C293" s="241" t="s">
        <v>938</v>
      </c>
      <c r="D293" s="403" t="s">
        <v>293</v>
      </c>
      <c r="E293" s="243">
        <v>5.85</v>
      </c>
      <c r="F293" s="355" t="s">
        <v>1070</v>
      </c>
      <c r="G293" s="356" t="s">
        <v>243</v>
      </c>
      <c r="H293" s="242" t="s">
        <v>294</v>
      </c>
      <c r="I293" s="561" t="s">
        <v>366</v>
      </c>
      <c r="J293" s="249"/>
      <c r="K293" s="245"/>
      <c r="L293" s="240"/>
      <c r="M293" s="197"/>
    </row>
    <row r="294" spans="1:13" ht="37.5" customHeight="1">
      <c r="A294" s="382">
        <v>291</v>
      </c>
      <c r="B294" s="559">
        <v>41946</v>
      </c>
      <c r="C294" s="241" t="s">
        <v>999</v>
      </c>
      <c r="D294" s="403" t="s">
        <v>388</v>
      </c>
      <c r="E294" s="243">
        <v>3974.83</v>
      </c>
      <c r="F294" s="242"/>
      <c r="G294" s="561" t="s">
        <v>430</v>
      </c>
      <c r="H294" s="242" t="s">
        <v>294</v>
      </c>
      <c r="I294" s="561" t="s">
        <v>431</v>
      </c>
      <c r="J294" s="595">
        <f>'GIORNALE DELLE ENTRATE'!E101+'GIORNALE DELLE ENTRATE'!E102+'GIORNALE DELLE ENTRATE'!E103+'GIORNALE DELLE ENTRATE'!E104</f>
        <v>1275.0500000000002</v>
      </c>
      <c r="K294" s="245">
        <f>E294+E295+E297-J294</f>
        <v>3546.1099999999997</v>
      </c>
      <c r="L294" s="240"/>
      <c r="M294" s="55"/>
    </row>
    <row r="295" spans="1:13" ht="37.5" customHeight="1">
      <c r="A295" s="382">
        <v>292</v>
      </c>
      <c r="B295" s="559">
        <v>41946</v>
      </c>
      <c r="C295" s="241" t="s">
        <v>1006</v>
      </c>
      <c r="D295" s="403" t="s">
        <v>388</v>
      </c>
      <c r="E295" s="243">
        <v>846</v>
      </c>
      <c r="F295" s="242" t="s">
        <v>79</v>
      </c>
      <c r="G295" s="561" t="s">
        <v>0</v>
      </c>
      <c r="H295" s="242" t="s">
        <v>295</v>
      </c>
      <c r="I295" s="561" t="s">
        <v>336</v>
      </c>
      <c r="J295" s="404"/>
      <c r="K295" s="245"/>
      <c r="L295" s="240"/>
      <c r="M295" s="55"/>
    </row>
    <row r="296" spans="1:13" ht="37.5" customHeight="1">
      <c r="A296" s="382">
        <v>293</v>
      </c>
      <c r="B296" s="559">
        <v>41946</v>
      </c>
      <c r="C296" s="241" t="s">
        <v>1006</v>
      </c>
      <c r="D296" s="403" t="s">
        <v>388</v>
      </c>
      <c r="E296" s="243">
        <v>41.89</v>
      </c>
      <c r="F296" s="242" t="s">
        <v>79</v>
      </c>
      <c r="G296" s="561" t="s">
        <v>0</v>
      </c>
      <c r="H296" s="242" t="s">
        <v>294</v>
      </c>
      <c r="I296" s="561" t="s">
        <v>336</v>
      </c>
      <c r="J296" s="404"/>
      <c r="K296" s="245"/>
      <c r="L296" s="240"/>
      <c r="M296" s="55"/>
    </row>
    <row r="297" spans="1:13" s="188" customFormat="1" ht="37.5" customHeight="1">
      <c r="A297" s="382">
        <v>294</v>
      </c>
      <c r="B297" s="559">
        <v>41946</v>
      </c>
      <c r="C297" s="241" t="s">
        <v>1007</v>
      </c>
      <c r="D297" s="403" t="s">
        <v>388</v>
      </c>
      <c r="E297" s="243">
        <v>0.33</v>
      </c>
      <c r="F297" s="158"/>
      <c r="G297" s="561" t="s">
        <v>430</v>
      </c>
      <c r="H297" s="242" t="s">
        <v>294</v>
      </c>
      <c r="I297" s="561" t="s">
        <v>431</v>
      </c>
      <c r="J297" s="249"/>
      <c r="K297" s="245"/>
      <c r="L297" s="240"/>
      <c r="M297" s="197"/>
    </row>
    <row r="298" spans="1:13" ht="37.5" customHeight="1">
      <c r="A298" s="382">
        <v>295</v>
      </c>
      <c r="B298" s="559">
        <v>41946</v>
      </c>
      <c r="C298" s="241" t="s">
        <v>1008</v>
      </c>
      <c r="D298" s="403" t="s">
        <v>284</v>
      </c>
      <c r="E298" s="243">
        <v>760.82</v>
      </c>
      <c r="F298" s="242"/>
      <c r="G298" s="561" t="s">
        <v>430</v>
      </c>
      <c r="H298" s="242" t="s">
        <v>294</v>
      </c>
      <c r="I298" s="561" t="s">
        <v>431</v>
      </c>
      <c r="J298" s="626"/>
      <c r="K298" s="245"/>
      <c r="L298" s="240"/>
      <c r="M298" s="55"/>
    </row>
    <row r="299" spans="1:13" ht="37.5" customHeight="1">
      <c r="A299" s="382">
        <v>296</v>
      </c>
      <c r="B299" s="559">
        <v>41946</v>
      </c>
      <c r="C299" s="241" t="s">
        <v>1009</v>
      </c>
      <c r="D299" s="403" t="s">
        <v>284</v>
      </c>
      <c r="E299" s="243">
        <v>12.32</v>
      </c>
      <c r="F299" s="242"/>
      <c r="G299" s="561" t="s">
        <v>430</v>
      </c>
      <c r="H299" s="242" t="s">
        <v>294</v>
      </c>
      <c r="I299" s="561" t="s">
        <v>431</v>
      </c>
      <c r="J299" s="626"/>
      <c r="K299" s="245"/>
      <c r="L299" s="240"/>
      <c r="M299" s="55"/>
    </row>
    <row r="300" spans="1:13" ht="37.5" customHeight="1">
      <c r="A300" s="382">
        <v>297</v>
      </c>
      <c r="B300" s="559">
        <v>41946</v>
      </c>
      <c r="C300" s="241" t="s">
        <v>939</v>
      </c>
      <c r="D300" s="403" t="s">
        <v>388</v>
      </c>
      <c r="E300" s="243">
        <v>103.17</v>
      </c>
      <c r="F300" s="560" t="s">
        <v>135</v>
      </c>
      <c r="G300" s="561" t="s">
        <v>158</v>
      </c>
      <c r="H300" s="242" t="s">
        <v>294</v>
      </c>
      <c r="I300" s="561" t="s">
        <v>366</v>
      </c>
      <c r="J300" s="249"/>
      <c r="K300" s="245"/>
      <c r="L300" s="240"/>
      <c r="M300" s="55"/>
    </row>
    <row r="301" spans="1:13" s="188" customFormat="1" ht="37.5" customHeight="1">
      <c r="A301" s="382">
        <v>298</v>
      </c>
      <c r="B301" s="559">
        <v>41946</v>
      </c>
      <c r="C301" s="241" t="s">
        <v>940</v>
      </c>
      <c r="D301" s="403" t="s">
        <v>388</v>
      </c>
      <c r="E301" s="155">
        <v>104</v>
      </c>
      <c r="F301" s="560" t="s">
        <v>207</v>
      </c>
      <c r="G301" s="561" t="s">
        <v>208</v>
      </c>
      <c r="H301" s="242" t="s">
        <v>294</v>
      </c>
      <c r="I301" s="561" t="s">
        <v>385</v>
      </c>
      <c r="J301" s="249"/>
      <c r="K301" s="245"/>
      <c r="L301" s="240"/>
      <c r="M301" s="197"/>
    </row>
    <row r="302" spans="1:13" s="188" customFormat="1" ht="37.5" customHeight="1">
      <c r="A302" s="382">
        <v>299</v>
      </c>
      <c r="B302" s="559">
        <v>41946</v>
      </c>
      <c r="C302" s="241" t="s">
        <v>941</v>
      </c>
      <c r="D302" s="403" t="s">
        <v>388</v>
      </c>
      <c r="E302" s="155">
        <v>67.9</v>
      </c>
      <c r="F302" s="158" t="s">
        <v>207</v>
      </c>
      <c r="G302" s="561" t="s">
        <v>208</v>
      </c>
      <c r="H302" s="242" t="s">
        <v>294</v>
      </c>
      <c r="I302" s="561" t="s">
        <v>385</v>
      </c>
      <c r="J302" s="624"/>
      <c r="K302" s="245"/>
      <c r="L302" s="240"/>
      <c r="M302" s="197"/>
    </row>
    <row r="303" spans="1:13" s="188" customFormat="1" ht="37.5" customHeight="1">
      <c r="A303" s="382">
        <v>300</v>
      </c>
      <c r="B303" s="559">
        <v>41946</v>
      </c>
      <c r="C303" s="241" t="s">
        <v>942</v>
      </c>
      <c r="D303" s="403" t="s">
        <v>388</v>
      </c>
      <c r="E303" s="155">
        <v>250</v>
      </c>
      <c r="F303" s="560" t="s">
        <v>207</v>
      </c>
      <c r="G303" s="561" t="s">
        <v>208</v>
      </c>
      <c r="H303" s="242" t="s">
        <v>294</v>
      </c>
      <c r="I303" s="561" t="s">
        <v>989</v>
      </c>
      <c r="J303" s="249"/>
      <c r="K303" s="245"/>
      <c r="L303" s="240"/>
      <c r="M303" s="197"/>
    </row>
    <row r="304" spans="1:13" ht="37.5" customHeight="1">
      <c r="A304" s="382">
        <v>301</v>
      </c>
      <c r="B304" s="559">
        <v>41946</v>
      </c>
      <c r="C304" s="241" t="s">
        <v>943</v>
      </c>
      <c r="D304" s="403" t="s">
        <v>388</v>
      </c>
      <c r="E304" s="243">
        <v>65.88</v>
      </c>
      <c r="F304" s="560" t="s">
        <v>57</v>
      </c>
      <c r="G304" s="561" t="s">
        <v>69</v>
      </c>
      <c r="H304" s="242" t="s">
        <v>294</v>
      </c>
      <c r="I304" s="561" t="s">
        <v>366</v>
      </c>
      <c r="J304" s="249"/>
      <c r="K304" s="245"/>
      <c r="L304" s="240"/>
      <c r="M304" s="55"/>
    </row>
    <row r="305" spans="1:13" ht="37.5" customHeight="1">
      <c r="A305" s="382">
        <v>302</v>
      </c>
      <c r="B305" s="563">
        <v>41946</v>
      </c>
      <c r="C305" s="564" t="s">
        <v>979</v>
      </c>
      <c r="D305" s="565" t="s">
        <v>293</v>
      </c>
      <c r="E305" s="566">
        <v>6</v>
      </c>
      <c r="F305" s="567" t="s">
        <v>262</v>
      </c>
      <c r="G305" s="568" t="s">
        <v>263</v>
      </c>
      <c r="H305" s="569" t="s">
        <v>294</v>
      </c>
      <c r="I305" s="568" t="s">
        <v>751</v>
      </c>
      <c r="J305" s="570"/>
      <c r="K305" s="571"/>
      <c r="L305" s="572"/>
      <c r="M305" s="55"/>
    </row>
    <row r="306" spans="1:13" s="188" customFormat="1" ht="37.5" customHeight="1">
      <c r="A306" s="382">
        <v>303</v>
      </c>
      <c r="B306" s="559">
        <v>41953</v>
      </c>
      <c r="C306" s="241" t="s">
        <v>944</v>
      </c>
      <c r="D306" s="403" t="s">
        <v>990</v>
      </c>
      <c r="E306" s="243">
        <v>507.52</v>
      </c>
      <c r="F306" s="242"/>
      <c r="G306" s="561" t="s">
        <v>430</v>
      </c>
      <c r="H306" s="242" t="s">
        <v>294</v>
      </c>
      <c r="I306" s="561" t="s">
        <v>494</v>
      </c>
      <c r="J306" s="625">
        <f>'GIORNALE DELLE ENTRATE'!$E$111</f>
        <v>80</v>
      </c>
      <c r="K306" s="245">
        <f>E306-J306</f>
        <v>427.52</v>
      </c>
      <c r="L306" s="240"/>
      <c r="M306" s="197"/>
    </row>
    <row r="307" spans="1:13" s="188" customFormat="1" ht="37.5" customHeight="1">
      <c r="A307" s="382">
        <v>304</v>
      </c>
      <c r="B307" s="559">
        <v>41960</v>
      </c>
      <c r="C307" s="241" t="s">
        <v>807</v>
      </c>
      <c r="D307" s="403" t="s">
        <v>300</v>
      </c>
      <c r="E307" s="243">
        <v>1142</v>
      </c>
      <c r="F307" s="560" t="s">
        <v>170</v>
      </c>
      <c r="G307" s="561" t="s">
        <v>44</v>
      </c>
      <c r="H307" s="242" t="s">
        <v>294</v>
      </c>
      <c r="I307" s="561" t="s">
        <v>336</v>
      </c>
      <c r="J307" s="249"/>
      <c r="K307" s="245"/>
      <c r="L307" s="240"/>
      <c r="M307" s="197"/>
    </row>
    <row r="308" spans="1:13" s="188" customFormat="1" ht="37.5" customHeight="1">
      <c r="A308" s="382">
        <v>305</v>
      </c>
      <c r="B308" s="559">
        <v>41967</v>
      </c>
      <c r="C308" s="241" t="s">
        <v>945</v>
      </c>
      <c r="D308" s="403" t="s">
        <v>551</v>
      </c>
      <c r="E308" s="243">
        <v>772.61</v>
      </c>
      <c r="F308" s="560" t="s">
        <v>207</v>
      </c>
      <c r="G308" s="561" t="s">
        <v>208</v>
      </c>
      <c r="H308" s="242" t="s">
        <v>294</v>
      </c>
      <c r="I308" s="561" t="s">
        <v>357</v>
      </c>
      <c r="J308" s="249"/>
      <c r="K308" s="245"/>
      <c r="L308" s="240"/>
      <c r="M308" s="197"/>
    </row>
    <row r="309" spans="1:13" s="188" customFormat="1" ht="37.5" customHeight="1" thickBot="1">
      <c r="A309" s="382">
        <v>306</v>
      </c>
      <c r="B309" s="559">
        <v>41967</v>
      </c>
      <c r="C309" s="241" t="s">
        <v>946</v>
      </c>
      <c r="D309" s="403" t="s">
        <v>551</v>
      </c>
      <c r="E309" s="243">
        <v>98.11</v>
      </c>
      <c r="F309" s="560" t="s">
        <v>207</v>
      </c>
      <c r="G309" s="561" t="s">
        <v>208</v>
      </c>
      <c r="H309" s="242" t="s">
        <v>294</v>
      </c>
      <c r="I309" s="561" t="s">
        <v>715</v>
      </c>
      <c r="J309" s="249"/>
      <c r="K309" s="245"/>
      <c r="L309" s="240"/>
      <c r="M309" s="197"/>
    </row>
    <row r="310" spans="1:13" ht="37.5" customHeight="1" thickTop="1">
      <c r="A310" s="382">
        <v>307</v>
      </c>
      <c r="B310" s="559">
        <v>41974</v>
      </c>
      <c r="C310" s="241" t="s">
        <v>947</v>
      </c>
      <c r="D310" s="403" t="s">
        <v>293</v>
      </c>
      <c r="E310" s="243">
        <v>5.85</v>
      </c>
      <c r="F310" s="355" t="s">
        <v>1070</v>
      </c>
      <c r="G310" s="356" t="s">
        <v>243</v>
      </c>
      <c r="H310" s="242" t="s">
        <v>294</v>
      </c>
      <c r="I310" s="561" t="s">
        <v>366</v>
      </c>
      <c r="J310" s="249"/>
      <c r="K310" s="245"/>
      <c r="L310" s="240"/>
      <c r="M310" s="55"/>
    </row>
    <row r="311" spans="1:13" ht="37.5" customHeight="1">
      <c r="A311" s="382">
        <v>308</v>
      </c>
      <c r="B311" s="559">
        <v>41974</v>
      </c>
      <c r="C311" s="241" t="s">
        <v>807</v>
      </c>
      <c r="D311" s="403" t="s">
        <v>381</v>
      </c>
      <c r="E311" s="243">
        <v>2664.98</v>
      </c>
      <c r="F311" s="158" t="s">
        <v>141</v>
      </c>
      <c r="G311" s="159" t="s">
        <v>142</v>
      </c>
      <c r="H311" s="154" t="s">
        <v>294</v>
      </c>
      <c r="I311" s="359" t="s">
        <v>366</v>
      </c>
      <c r="J311" s="249"/>
      <c r="K311" s="245"/>
      <c r="L311" s="240"/>
      <c r="M311" s="55"/>
    </row>
    <row r="312" spans="1:13" s="188" customFormat="1" ht="37.5" customHeight="1">
      <c r="A312" s="382">
        <v>309</v>
      </c>
      <c r="B312" s="559">
        <v>41974</v>
      </c>
      <c r="C312" s="241" t="s">
        <v>807</v>
      </c>
      <c r="D312" s="403" t="s">
        <v>296</v>
      </c>
      <c r="E312" s="243">
        <v>80</v>
      </c>
      <c r="F312" s="560" t="s">
        <v>79</v>
      </c>
      <c r="G312" s="561" t="s">
        <v>0</v>
      </c>
      <c r="H312" s="242" t="s">
        <v>294</v>
      </c>
      <c r="I312" s="561" t="s">
        <v>336</v>
      </c>
      <c r="J312" s="243"/>
      <c r="K312" s="245"/>
      <c r="L312" s="240"/>
      <c r="M312" s="197"/>
    </row>
    <row r="313" spans="1:13" s="188" customFormat="1" ht="37.5" customHeight="1">
      <c r="A313" s="382">
        <v>310</v>
      </c>
      <c r="B313" s="559">
        <v>41974</v>
      </c>
      <c r="C313" s="241" t="s">
        <v>948</v>
      </c>
      <c r="D313" s="403" t="s">
        <v>367</v>
      </c>
      <c r="E313" s="243">
        <v>11590</v>
      </c>
      <c r="F313" s="560" t="s">
        <v>207</v>
      </c>
      <c r="G313" s="561" t="s">
        <v>208</v>
      </c>
      <c r="H313" s="242" t="s">
        <v>294</v>
      </c>
      <c r="I313" s="561" t="s">
        <v>385</v>
      </c>
      <c r="J313" s="249"/>
      <c r="K313" s="245"/>
      <c r="L313" s="240"/>
      <c r="M313" s="197"/>
    </row>
    <row r="314" spans="1:13" s="188" customFormat="1" ht="37.5" customHeight="1">
      <c r="A314" s="382">
        <v>311</v>
      </c>
      <c r="B314" s="559">
        <v>41974</v>
      </c>
      <c r="C314" s="241" t="s">
        <v>949</v>
      </c>
      <c r="D314" s="403" t="s">
        <v>453</v>
      </c>
      <c r="E314" s="243">
        <v>9.3</v>
      </c>
      <c r="F314" s="560" t="s">
        <v>58</v>
      </c>
      <c r="G314" s="561" t="s">
        <v>71</v>
      </c>
      <c r="H314" s="242" t="s">
        <v>294</v>
      </c>
      <c r="I314" s="561" t="s">
        <v>366</v>
      </c>
      <c r="J314" s="249"/>
      <c r="K314" s="245"/>
      <c r="L314" s="240"/>
      <c r="M314" s="197"/>
    </row>
    <row r="315" spans="1:13" s="188" customFormat="1" ht="37.5" customHeight="1">
      <c r="A315" s="382">
        <v>312</v>
      </c>
      <c r="B315" s="559">
        <v>41974</v>
      </c>
      <c r="C315" s="241" t="s">
        <v>949</v>
      </c>
      <c r="D315" s="403" t="s">
        <v>453</v>
      </c>
      <c r="E315" s="243">
        <v>16.62</v>
      </c>
      <c r="F315" s="560" t="s">
        <v>57</v>
      </c>
      <c r="G315" s="561" t="s">
        <v>69</v>
      </c>
      <c r="H315" s="242" t="s">
        <v>294</v>
      </c>
      <c r="I315" s="561" t="s">
        <v>366</v>
      </c>
      <c r="J315" s="249"/>
      <c r="K315" s="245"/>
      <c r="L315" s="240"/>
      <c r="M315" s="197"/>
    </row>
    <row r="316" spans="1:13" ht="37.5" customHeight="1">
      <c r="A316" s="382">
        <v>313</v>
      </c>
      <c r="B316" s="559">
        <v>41974</v>
      </c>
      <c r="C316" s="241" t="s">
        <v>950</v>
      </c>
      <c r="D316" s="403" t="s">
        <v>991</v>
      </c>
      <c r="E316" s="243">
        <v>1200</v>
      </c>
      <c r="F316" s="158" t="s">
        <v>207</v>
      </c>
      <c r="G316" s="561" t="s">
        <v>208</v>
      </c>
      <c r="H316" s="242" t="s">
        <v>294</v>
      </c>
      <c r="I316" s="561" t="s">
        <v>995</v>
      </c>
      <c r="J316" s="249">
        <v>240</v>
      </c>
      <c r="K316" s="245">
        <f>E316-J316</f>
        <v>960</v>
      </c>
      <c r="L316" s="240"/>
      <c r="M316" s="55"/>
    </row>
    <row r="317" spans="1:13" s="594" customFormat="1" ht="37.5" customHeight="1">
      <c r="A317" s="382">
        <v>314</v>
      </c>
      <c r="B317" s="559">
        <v>41974</v>
      </c>
      <c r="C317" s="241" t="s">
        <v>951</v>
      </c>
      <c r="D317" s="403" t="s">
        <v>991</v>
      </c>
      <c r="E317" s="243">
        <v>115.2</v>
      </c>
      <c r="F317" s="158" t="s">
        <v>207</v>
      </c>
      <c r="G317" s="561" t="s">
        <v>208</v>
      </c>
      <c r="H317" s="242" t="s">
        <v>294</v>
      </c>
      <c r="I317" s="561" t="s">
        <v>995</v>
      </c>
      <c r="J317" s="624"/>
      <c r="K317" s="245"/>
      <c r="L317" s="240"/>
      <c r="M317" s="593"/>
    </row>
    <row r="318" spans="1:13" ht="37.5" customHeight="1">
      <c r="A318" s="382">
        <v>315</v>
      </c>
      <c r="B318" s="563">
        <v>41974</v>
      </c>
      <c r="C318" s="564" t="s">
        <v>980</v>
      </c>
      <c r="D318" s="565" t="s">
        <v>293</v>
      </c>
      <c r="E318" s="566">
        <v>6</v>
      </c>
      <c r="F318" s="567" t="s">
        <v>262</v>
      </c>
      <c r="G318" s="568" t="s">
        <v>263</v>
      </c>
      <c r="H318" s="569" t="s">
        <v>294</v>
      </c>
      <c r="I318" s="568" t="s">
        <v>751</v>
      </c>
      <c r="J318" s="570"/>
      <c r="K318" s="571"/>
      <c r="L318" s="572"/>
      <c r="M318" s="55"/>
    </row>
    <row r="319" spans="1:13" s="188" customFormat="1" ht="37.5" customHeight="1">
      <c r="A319" s="382">
        <v>316</v>
      </c>
      <c r="B319" s="559">
        <v>41982</v>
      </c>
      <c r="C319" s="241" t="s">
        <v>952</v>
      </c>
      <c r="D319" s="403" t="s">
        <v>992</v>
      </c>
      <c r="E319" s="243">
        <v>11590</v>
      </c>
      <c r="F319" s="560" t="s">
        <v>207</v>
      </c>
      <c r="G319" s="561" t="s">
        <v>208</v>
      </c>
      <c r="H319" s="242" t="s">
        <v>294</v>
      </c>
      <c r="I319" s="561" t="s">
        <v>594</v>
      </c>
      <c r="J319" s="249"/>
      <c r="K319" s="245"/>
      <c r="L319" s="240"/>
      <c r="M319" s="197"/>
    </row>
    <row r="320" spans="1:13" ht="37.5" customHeight="1">
      <c r="A320" s="382">
        <v>317</v>
      </c>
      <c r="B320" s="559">
        <v>41989</v>
      </c>
      <c r="C320" s="241" t="s">
        <v>954</v>
      </c>
      <c r="D320" s="403" t="s">
        <v>993</v>
      </c>
      <c r="E320" s="243">
        <v>2564</v>
      </c>
      <c r="F320" s="158" t="s">
        <v>207</v>
      </c>
      <c r="G320" s="561" t="s">
        <v>208</v>
      </c>
      <c r="H320" s="242" t="s">
        <v>294</v>
      </c>
      <c r="I320" s="561" t="s">
        <v>594</v>
      </c>
      <c r="J320" s="249"/>
      <c r="K320" s="245"/>
      <c r="L320" s="240"/>
      <c r="M320" s="55"/>
    </row>
    <row r="321" spans="1:13" ht="37.5" customHeight="1">
      <c r="A321" s="382">
        <v>318</v>
      </c>
      <c r="B321" s="559">
        <v>41989</v>
      </c>
      <c r="C321" s="241" t="s">
        <v>955</v>
      </c>
      <c r="D321" s="403" t="s">
        <v>994</v>
      </c>
      <c r="E321" s="243">
        <v>312.08</v>
      </c>
      <c r="F321" s="158" t="s">
        <v>207</v>
      </c>
      <c r="G321" s="561" t="s">
        <v>208</v>
      </c>
      <c r="H321" s="242" t="s">
        <v>294</v>
      </c>
      <c r="I321" s="561" t="s">
        <v>995</v>
      </c>
      <c r="J321" s="249"/>
      <c r="K321" s="245"/>
      <c r="L321" s="240"/>
      <c r="M321" s="55"/>
    </row>
    <row r="322" spans="1:13" s="188" customFormat="1" ht="37.5" customHeight="1">
      <c r="A322" s="382">
        <v>319</v>
      </c>
      <c r="B322" s="587">
        <v>41992</v>
      </c>
      <c r="C322" s="588" t="s">
        <v>957</v>
      </c>
      <c r="D322" s="247" t="s">
        <v>333</v>
      </c>
      <c r="E322" s="589">
        <v>3588</v>
      </c>
      <c r="F322" s="247"/>
      <c r="G322" s="590" t="s">
        <v>430</v>
      </c>
      <c r="H322" s="247" t="s">
        <v>294</v>
      </c>
      <c r="I322" s="590" t="s">
        <v>431</v>
      </c>
      <c r="J322" s="623"/>
      <c r="K322" s="591"/>
      <c r="L322" s="592"/>
      <c r="M322" s="197"/>
    </row>
    <row r="323" spans="1:13" s="188" customFormat="1" ht="37.5" customHeight="1">
      <c r="A323" s="382">
        <v>320</v>
      </c>
      <c r="B323" s="559">
        <v>41992</v>
      </c>
      <c r="C323" s="152" t="s">
        <v>958</v>
      </c>
      <c r="D323" s="403" t="s">
        <v>993</v>
      </c>
      <c r="E323" s="243">
        <v>10982</v>
      </c>
      <c r="F323" s="560" t="s">
        <v>207</v>
      </c>
      <c r="G323" s="561" t="s">
        <v>208</v>
      </c>
      <c r="H323" s="242" t="s">
        <v>294</v>
      </c>
      <c r="I323" s="561" t="s">
        <v>594</v>
      </c>
      <c r="J323" s="249"/>
      <c r="K323" s="245"/>
      <c r="L323" s="240"/>
      <c r="M323" s="197"/>
    </row>
    <row r="324" spans="1:13" s="188" customFormat="1" ht="37.5" customHeight="1">
      <c r="A324" s="382">
        <v>321</v>
      </c>
      <c r="B324" s="559">
        <v>41995</v>
      </c>
      <c r="C324" s="152" t="s">
        <v>959</v>
      </c>
      <c r="D324" s="403" t="s">
        <v>372</v>
      </c>
      <c r="E324" s="243">
        <v>6</v>
      </c>
      <c r="F324" s="560" t="s">
        <v>207</v>
      </c>
      <c r="G324" s="561" t="s">
        <v>208</v>
      </c>
      <c r="H324" s="242" t="s">
        <v>294</v>
      </c>
      <c r="I324" s="561" t="s">
        <v>358</v>
      </c>
      <c r="J324" s="249"/>
      <c r="K324" s="245"/>
      <c r="L324" s="240"/>
      <c r="M324" s="197"/>
    </row>
    <row r="325" spans="1:13" s="188" customFormat="1" ht="37.5" customHeight="1">
      <c r="A325" s="382">
        <v>322</v>
      </c>
      <c r="B325" s="559">
        <v>41995</v>
      </c>
      <c r="C325" s="244" t="s">
        <v>960</v>
      </c>
      <c r="D325" s="403" t="s">
        <v>373</v>
      </c>
      <c r="E325" s="243">
        <v>4000</v>
      </c>
      <c r="F325" s="560" t="s">
        <v>207</v>
      </c>
      <c r="G325" s="561" t="s">
        <v>208</v>
      </c>
      <c r="H325" s="242" t="s">
        <v>294</v>
      </c>
      <c r="I325" s="561" t="s">
        <v>715</v>
      </c>
      <c r="J325" s="249"/>
      <c r="K325" s="245"/>
      <c r="L325" s="240"/>
      <c r="M325" s="197"/>
    </row>
    <row r="326" spans="1:13" s="188" customFormat="1" ht="37.5" customHeight="1">
      <c r="A326" s="382">
        <v>323</v>
      </c>
      <c r="B326" s="559">
        <v>41995</v>
      </c>
      <c r="C326" s="241" t="s">
        <v>961</v>
      </c>
      <c r="D326" s="403" t="s">
        <v>373</v>
      </c>
      <c r="E326" s="243">
        <v>267</v>
      </c>
      <c r="F326" s="560" t="s">
        <v>207</v>
      </c>
      <c r="G326" s="561" t="s">
        <v>208</v>
      </c>
      <c r="H326" s="242" t="s">
        <v>294</v>
      </c>
      <c r="I326" s="561" t="s">
        <v>385</v>
      </c>
      <c r="J326" s="249"/>
      <c r="K326" s="245"/>
      <c r="L326" s="240"/>
      <c r="M326" s="197"/>
    </row>
    <row r="327" spans="1:13" s="188" customFormat="1" ht="37.5" customHeight="1">
      <c r="A327" s="382">
        <v>324</v>
      </c>
      <c r="B327" s="563">
        <v>41995</v>
      </c>
      <c r="C327" s="575" t="s">
        <v>981</v>
      </c>
      <c r="D327" s="565" t="s">
        <v>388</v>
      </c>
      <c r="E327" s="577">
        <v>65.5</v>
      </c>
      <c r="F327" s="567" t="s">
        <v>262</v>
      </c>
      <c r="G327" s="568" t="s">
        <v>263</v>
      </c>
      <c r="H327" s="569" t="s">
        <v>294</v>
      </c>
      <c r="I327" s="568" t="s">
        <v>751</v>
      </c>
      <c r="J327" s="570"/>
      <c r="K327" s="571"/>
      <c r="L327" s="572"/>
      <c r="M327" s="197"/>
    </row>
    <row r="328" spans="1:13" s="188" customFormat="1" ht="37.5" customHeight="1">
      <c r="A328" s="382">
        <v>325</v>
      </c>
      <c r="B328" s="559">
        <v>42002</v>
      </c>
      <c r="C328" s="244" t="s">
        <v>962</v>
      </c>
      <c r="D328" s="403" t="s">
        <v>333</v>
      </c>
      <c r="E328" s="155">
        <v>4068.71</v>
      </c>
      <c r="F328" s="560"/>
      <c r="G328" s="561" t="s">
        <v>430</v>
      </c>
      <c r="H328" s="242" t="s">
        <v>294</v>
      </c>
      <c r="I328" s="561" t="s">
        <v>431</v>
      </c>
      <c r="J328" s="249"/>
      <c r="K328" s="245"/>
      <c r="L328" s="240"/>
      <c r="M328" s="197"/>
    </row>
    <row r="329" spans="1:13" ht="37.5" customHeight="1">
      <c r="A329" s="382">
        <v>326</v>
      </c>
      <c r="B329" s="559">
        <v>42002</v>
      </c>
      <c r="C329" s="241" t="s">
        <v>1016</v>
      </c>
      <c r="D329" s="403" t="s">
        <v>333</v>
      </c>
      <c r="E329" s="243">
        <v>360.55</v>
      </c>
      <c r="F329" s="560" t="s">
        <v>79</v>
      </c>
      <c r="G329" s="561" t="s">
        <v>0</v>
      </c>
      <c r="H329" s="242" t="s">
        <v>294</v>
      </c>
      <c r="I329" s="561" t="s">
        <v>336</v>
      </c>
      <c r="J329" s="249"/>
      <c r="K329" s="245"/>
      <c r="L329" s="240"/>
      <c r="M329" s="55"/>
    </row>
    <row r="330" spans="1:13" ht="37.5" customHeight="1">
      <c r="A330" s="382">
        <v>327</v>
      </c>
      <c r="B330" s="559">
        <v>42002</v>
      </c>
      <c r="C330" s="241" t="s">
        <v>1017</v>
      </c>
      <c r="D330" s="403" t="s">
        <v>284</v>
      </c>
      <c r="E330" s="243">
        <v>816.9</v>
      </c>
      <c r="F330" s="158"/>
      <c r="G330" s="561" t="s">
        <v>430</v>
      </c>
      <c r="H330" s="242" t="s">
        <v>294</v>
      </c>
      <c r="I330" s="561" t="s">
        <v>431</v>
      </c>
      <c r="J330" s="249"/>
      <c r="K330" s="245"/>
      <c r="L330" s="240"/>
      <c r="M330" s="55"/>
    </row>
    <row r="331" spans="1:13" ht="37.5" customHeight="1">
      <c r="A331" s="382">
        <v>328</v>
      </c>
      <c r="B331" s="559">
        <v>42002</v>
      </c>
      <c r="C331" s="241" t="s">
        <v>1018</v>
      </c>
      <c r="D331" s="403" t="s">
        <v>284</v>
      </c>
      <c r="E331" s="243">
        <v>4.34</v>
      </c>
      <c r="F331" s="158"/>
      <c r="G331" s="561" t="s">
        <v>430</v>
      </c>
      <c r="H331" s="242" t="s">
        <v>294</v>
      </c>
      <c r="I331" s="561" t="s">
        <v>431</v>
      </c>
      <c r="J331" s="249"/>
      <c r="K331" s="245"/>
      <c r="L331" s="240"/>
      <c r="M331" s="55"/>
    </row>
    <row r="332" spans="1:13" ht="37.5" customHeight="1">
      <c r="A332" s="382">
        <v>329</v>
      </c>
      <c r="B332" s="559">
        <v>42002</v>
      </c>
      <c r="C332" s="241" t="s">
        <v>963</v>
      </c>
      <c r="D332" s="403" t="s">
        <v>599</v>
      </c>
      <c r="E332" s="243">
        <v>111.86</v>
      </c>
      <c r="F332" s="620"/>
      <c r="G332" s="622" t="s">
        <v>545</v>
      </c>
      <c r="H332" s="242" t="s">
        <v>294</v>
      </c>
      <c r="I332" s="561" t="s">
        <v>693</v>
      </c>
      <c r="J332" s="249"/>
      <c r="K332" s="245"/>
      <c r="L332" s="240"/>
      <c r="M332" s="55"/>
    </row>
    <row r="333" spans="1:13" ht="37.5" customHeight="1">
      <c r="A333" s="382">
        <v>330</v>
      </c>
      <c r="B333" s="559">
        <v>42002</v>
      </c>
      <c r="C333" s="241" t="s">
        <v>1010</v>
      </c>
      <c r="D333" s="403" t="s">
        <v>284</v>
      </c>
      <c r="E333" s="243">
        <v>21.44</v>
      </c>
      <c r="F333" s="560"/>
      <c r="G333" s="561" t="s">
        <v>545</v>
      </c>
      <c r="H333" s="242" t="s">
        <v>294</v>
      </c>
      <c r="I333" s="561" t="s">
        <v>693</v>
      </c>
      <c r="J333" s="249"/>
      <c r="K333" s="245"/>
      <c r="L333" s="240"/>
      <c r="M333" s="55"/>
    </row>
    <row r="334" spans="1:13" ht="37.5" customHeight="1">
      <c r="A334" s="382">
        <v>331</v>
      </c>
      <c r="B334" s="559">
        <v>42002</v>
      </c>
      <c r="C334" s="241" t="s">
        <v>1011</v>
      </c>
      <c r="D334" s="403" t="s">
        <v>284</v>
      </c>
      <c r="E334" s="243">
        <v>0.12</v>
      </c>
      <c r="F334" s="560"/>
      <c r="G334" s="561" t="s">
        <v>545</v>
      </c>
      <c r="H334" s="242" t="s">
        <v>294</v>
      </c>
      <c r="I334" s="561" t="s">
        <v>693</v>
      </c>
      <c r="J334" s="249"/>
      <c r="K334" s="245"/>
      <c r="L334" s="240"/>
      <c r="M334" s="55"/>
    </row>
    <row r="335" spans="1:13" ht="37.5" customHeight="1">
      <c r="A335" s="382">
        <v>332</v>
      </c>
      <c r="B335" s="559">
        <v>42004</v>
      </c>
      <c r="C335" s="241" t="s">
        <v>964</v>
      </c>
      <c r="D335" s="403" t="s">
        <v>373</v>
      </c>
      <c r="E335" s="243">
        <v>419.29</v>
      </c>
      <c r="F335" s="560" t="s">
        <v>207</v>
      </c>
      <c r="G335" s="561" t="s">
        <v>208</v>
      </c>
      <c r="H335" s="242" t="s">
        <v>294</v>
      </c>
      <c r="I335" s="561" t="s">
        <v>715</v>
      </c>
      <c r="J335" s="249"/>
      <c r="K335" s="245"/>
      <c r="L335" s="240"/>
      <c r="M335" s="55"/>
    </row>
    <row r="336" spans="1:13" ht="37.5" customHeight="1">
      <c r="A336" s="382">
        <v>333</v>
      </c>
      <c r="B336" s="559">
        <v>42004</v>
      </c>
      <c r="C336" s="241" t="s">
        <v>965</v>
      </c>
      <c r="D336" s="403" t="s">
        <v>373</v>
      </c>
      <c r="E336" s="243">
        <v>270</v>
      </c>
      <c r="F336" s="560" t="s">
        <v>207</v>
      </c>
      <c r="G336" s="561" t="s">
        <v>208</v>
      </c>
      <c r="H336" s="242" t="s">
        <v>294</v>
      </c>
      <c r="I336" s="561" t="s">
        <v>715</v>
      </c>
      <c r="J336" s="249"/>
      <c r="K336" s="245"/>
      <c r="L336" s="240"/>
      <c r="M336" s="55"/>
    </row>
    <row r="337" spans="1:13" ht="37.5" customHeight="1">
      <c r="A337" s="382">
        <v>334</v>
      </c>
      <c r="B337" s="559">
        <v>42004</v>
      </c>
      <c r="C337" s="241" t="s">
        <v>966</v>
      </c>
      <c r="D337" s="403" t="s">
        <v>373</v>
      </c>
      <c r="E337" s="243">
        <v>831.98</v>
      </c>
      <c r="F337" s="560" t="s">
        <v>207</v>
      </c>
      <c r="G337" s="561" t="s">
        <v>208</v>
      </c>
      <c r="H337" s="242" t="s">
        <v>294</v>
      </c>
      <c r="I337" s="561" t="s">
        <v>715</v>
      </c>
      <c r="J337" s="249"/>
      <c r="K337" s="245"/>
      <c r="L337" s="240"/>
      <c r="M337" s="55"/>
    </row>
    <row r="338" spans="1:13" ht="37.5" customHeight="1">
      <c r="A338" s="382">
        <v>335</v>
      </c>
      <c r="B338" s="559">
        <v>42004</v>
      </c>
      <c r="C338" s="241" t="s">
        <v>967</v>
      </c>
      <c r="D338" s="403" t="s">
        <v>373</v>
      </c>
      <c r="E338" s="243">
        <v>56.59</v>
      </c>
      <c r="F338" s="619" t="s">
        <v>50</v>
      </c>
      <c r="G338" s="621" t="s">
        <v>125</v>
      </c>
      <c r="H338" s="242" t="s">
        <v>294</v>
      </c>
      <c r="I338" s="561" t="s">
        <v>366</v>
      </c>
      <c r="J338" s="627"/>
      <c r="K338" s="628"/>
      <c r="L338" s="629"/>
      <c r="M338" s="55"/>
    </row>
    <row r="339" spans="1:13" ht="37.5" customHeight="1">
      <c r="A339" s="382">
        <v>336</v>
      </c>
      <c r="B339" s="339">
        <v>42004</v>
      </c>
      <c r="C339" s="152" t="s">
        <v>968</v>
      </c>
      <c r="D339" s="340" t="s">
        <v>333</v>
      </c>
      <c r="E339" s="155">
        <v>435.53</v>
      </c>
      <c r="F339" s="158" t="s">
        <v>262</v>
      </c>
      <c r="G339" s="340" t="s">
        <v>263</v>
      </c>
      <c r="H339" s="154"/>
      <c r="I339" s="340" t="s">
        <v>378</v>
      </c>
      <c r="J339" s="155"/>
      <c r="K339" s="155"/>
      <c r="L339" s="630"/>
      <c r="M339" s="55"/>
    </row>
    <row r="341" ht="37.5" customHeight="1">
      <c r="E341" s="51">
        <f>SUM(E2:E340)</f>
        <v>366041.56000000006</v>
      </c>
    </row>
  </sheetData>
  <sheetProtection/>
  <mergeCells count="1">
    <mergeCell ref="A1:I1"/>
  </mergeCells>
  <printOptions/>
  <pageMargins left="0.2362204724409449" right="0.2362204724409449" top="0.15748031496062992" bottom="0" header="0.31496062992125984" footer="0.31496062992125984"/>
  <pageSetup fitToHeight="0" fitToWidth="1" horizontalDpi="1200" verticalDpi="12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9"/>
  <sheetViews>
    <sheetView zoomScale="96" zoomScaleNormal="96" zoomScalePageLayoutView="0" workbookViewId="0" topLeftCell="A54">
      <selection activeCell="E60" activeCellId="5" sqref="E51 E52 E53 E58 E59 E60"/>
    </sheetView>
  </sheetViews>
  <sheetFormatPr defaultColWidth="9.140625" defaultRowHeight="35.25" customHeight="1" outlineLevelRow="2"/>
  <cols>
    <col min="1" max="1" width="4.140625" style="272" bestFit="1" customWidth="1"/>
    <col min="2" max="2" width="16.00390625" style="51" customWidth="1"/>
    <col min="3" max="3" width="48.421875" style="79" customWidth="1"/>
    <col min="4" max="4" width="23.00390625" style="51" customWidth="1"/>
    <col min="5" max="5" width="16.8515625" style="51" bestFit="1" customWidth="1"/>
    <col min="6" max="6" width="12.421875" style="51" customWidth="1"/>
    <col min="7" max="7" width="39.57421875" style="51" bestFit="1" customWidth="1"/>
    <col min="8" max="8" width="3.57421875" style="51" bestFit="1" customWidth="1"/>
    <col min="9" max="9" width="38.7109375" style="51" customWidth="1"/>
    <col min="10" max="10" width="23.7109375" style="248" customWidth="1"/>
    <col min="11" max="11" width="12.28125" style="248" bestFit="1" customWidth="1"/>
    <col min="12" max="12" width="11.8515625" style="246" bestFit="1" customWidth="1"/>
    <col min="13" max="13" width="9.140625" style="85" customWidth="1"/>
    <col min="14" max="14" width="17.7109375" style="51" customWidth="1"/>
    <col min="15" max="16384" width="9.140625" style="51" customWidth="1"/>
  </cols>
  <sheetData>
    <row r="1" spans="1:9" ht="35.25" customHeight="1" thickBot="1">
      <c r="A1" s="679" t="s">
        <v>344</v>
      </c>
      <c r="B1" s="679"/>
      <c r="C1" s="679"/>
      <c r="D1" s="679"/>
      <c r="E1" s="679"/>
      <c r="F1" s="679"/>
      <c r="G1" s="679"/>
      <c r="H1" s="679"/>
      <c r="I1" s="679"/>
    </row>
    <row r="2" spans="1:10" s="188" customFormat="1" ht="35.25" customHeight="1" thickBot="1" thickTop="1">
      <c r="A2" s="381" t="s">
        <v>280</v>
      </c>
      <c r="B2" s="379" t="s">
        <v>286</v>
      </c>
      <c r="C2" s="157" t="s">
        <v>287</v>
      </c>
      <c r="D2" s="157" t="s">
        <v>210</v>
      </c>
      <c r="E2" s="157" t="s">
        <v>211</v>
      </c>
      <c r="F2" s="157" t="s">
        <v>212</v>
      </c>
      <c r="G2" s="157" t="s">
        <v>213</v>
      </c>
      <c r="H2" s="157" t="s">
        <v>288</v>
      </c>
      <c r="I2" s="313" t="s">
        <v>289</v>
      </c>
      <c r="J2" s="248"/>
    </row>
    <row r="3" spans="1:13" ht="35.25" customHeight="1" outlineLevel="2" thickTop="1">
      <c r="A3" s="382">
        <v>35</v>
      </c>
      <c r="B3" s="376">
        <v>41673</v>
      </c>
      <c r="C3" s="353" t="s">
        <v>447</v>
      </c>
      <c r="D3" s="354" t="s">
        <v>448</v>
      </c>
      <c r="E3" s="369">
        <v>3172</v>
      </c>
      <c r="F3" s="357" t="s">
        <v>49</v>
      </c>
      <c r="G3" s="357" t="s">
        <v>124</v>
      </c>
      <c r="H3" s="357" t="s">
        <v>295</v>
      </c>
      <c r="I3" s="358" t="s">
        <v>366</v>
      </c>
      <c r="J3" s="51"/>
      <c r="K3" s="51"/>
      <c r="L3" s="51"/>
      <c r="M3" s="51"/>
    </row>
    <row r="4" spans="1:13" ht="35.25" customHeight="1" outlineLevel="1">
      <c r="A4" s="382"/>
      <c r="B4" s="631"/>
      <c r="C4" s="244"/>
      <c r="D4" s="601"/>
      <c r="E4" s="632">
        <f>SUBTOTAL(9,E3:E3)</f>
        <v>3172</v>
      </c>
      <c r="F4" s="634" t="s">
        <v>1038</v>
      </c>
      <c r="G4" s="228"/>
      <c r="H4" s="228"/>
      <c r="I4" s="633">
        <f>SUBTOTAL(9,I3:I3)</f>
        <v>0</v>
      </c>
      <c r="J4" s="51"/>
      <c r="K4" s="51"/>
      <c r="L4" s="51"/>
      <c r="M4" s="51"/>
    </row>
    <row r="5" spans="1:13" ht="35.25" customHeight="1" outlineLevel="2">
      <c r="A5" s="382">
        <v>45</v>
      </c>
      <c r="B5" s="377">
        <v>41690</v>
      </c>
      <c r="C5" s="152" t="s">
        <v>456</v>
      </c>
      <c r="D5" s="340" t="s">
        <v>373</v>
      </c>
      <c r="E5" s="370">
        <v>227.34</v>
      </c>
      <c r="F5" s="158" t="s">
        <v>50</v>
      </c>
      <c r="G5" s="340" t="s">
        <v>125</v>
      </c>
      <c r="H5" s="154" t="s">
        <v>294</v>
      </c>
      <c r="I5" s="359" t="s">
        <v>366</v>
      </c>
      <c r="J5" s="51"/>
      <c r="K5" s="51"/>
      <c r="L5" s="51"/>
      <c r="M5" s="51"/>
    </row>
    <row r="6" spans="1:13" ht="35.25" customHeight="1" outlineLevel="2">
      <c r="A6" s="382">
        <v>201</v>
      </c>
      <c r="B6" s="377">
        <v>41820</v>
      </c>
      <c r="C6" s="152" t="s">
        <v>510</v>
      </c>
      <c r="D6" s="340" t="s">
        <v>373</v>
      </c>
      <c r="E6" s="155">
        <v>158.12</v>
      </c>
      <c r="F6" s="158" t="s">
        <v>50</v>
      </c>
      <c r="G6" s="340" t="s">
        <v>125</v>
      </c>
      <c r="H6" s="154" t="s">
        <v>294</v>
      </c>
      <c r="I6" s="359" t="s">
        <v>366</v>
      </c>
      <c r="J6" s="51"/>
      <c r="K6" s="51"/>
      <c r="L6" s="51"/>
      <c r="M6" s="51"/>
    </row>
    <row r="7" spans="1:13" ht="35.25" customHeight="1" outlineLevel="2">
      <c r="A7" s="382">
        <v>335</v>
      </c>
      <c r="B7" s="377">
        <v>42004</v>
      </c>
      <c r="C7" s="152" t="s">
        <v>967</v>
      </c>
      <c r="D7" s="340" t="s">
        <v>373</v>
      </c>
      <c r="E7" s="155">
        <v>56.59</v>
      </c>
      <c r="F7" s="158" t="s">
        <v>50</v>
      </c>
      <c r="G7" s="340" t="s">
        <v>125</v>
      </c>
      <c r="H7" s="154" t="s">
        <v>294</v>
      </c>
      <c r="I7" s="359" t="s">
        <v>366</v>
      </c>
      <c r="J7" s="51"/>
      <c r="K7" s="51"/>
      <c r="L7" s="51"/>
      <c r="M7" s="51"/>
    </row>
    <row r="8" spans="1:13" ht="35.25" customHeight="1" outlineLevel="1">
      <c r="A8" s="382"/>
      <c r="B8" s="377"/>
      <c r="C8" s="152"/>
      <c r="D8" s="340"/>
      <c r="E8" s="155">
        <f>SUBTOTAL(9,E5:E7)</f>
        <v>442.05000000000007</v>
      </c>
      <c r="F8" s="635" t="s">
        <v>1039</v>
      </c>
      <c r="G8" s="618"/>
      <c r="H8" s="154"/>
      <c r="I8" s="359">
        <f>SUBTOTAL(9,I5:I7)</f>
        <v>0</v>
      </c>
      <c r="J8" s="51"/>
      <c r="K8" s="51"/>
      <c r="L8" s="51"/>
      <c r="M8" s="51"/>
    </row>
    <row r="9" spans="1:13" ht="35.25" customHeight="1" outlineLevel="2">
      <c r="A9" s="382">
        <v>21</v>
      </c>
      <c r="B9" s="377">
        <v>41654</v>
      </c>
      <c r="C9" s="152" t="s">
        <v>439</v>
      </c>
      <c r="D9" s="340" t="s">
        <v>440</v>
      </c>
      <c r="E9" s="370">
        <v>3933.28</v>
      </c>
      <c r="F9" s="154" t="s">
        <v>52</v>
      </c>
      <c r="G9" s="154" t="s">
        <v>126</v>
      </c>
      <c r="H9" s="154" t="s">
        <v>295</v>
      </c>
      <c r="I9" s="359" t="s">
        <v>366</v>
      </c>
      <c r="J9" s="51"/>
      <c r="K9" s="51"/>
      <c r="L9" s="51"/>
      <c r="M9" s="51"/>
    </row>
    <row r="10" spans="1:13" ht="35.25" customHeight="1" outlineLevel="2">
      <c r="A10" s="382">
        <v>47</v>
      </c>
      <c r="B10" s="377">
        <v>41690</v>
      </c>
      <c r="C10" s="152" t="s">
        <v>452</v>
      </c>
      <c r="D10" s="340" t="s">
        <v>453</v>
      </c>
      <c r="E10" s="370">
        <v>2500</v>
      </c>
      <c r="F10" s="154" t="s">
        <v>52</v>
      </c>
      <c r="G10" s="154" t="s">
        <v>126</v>
      </c>
      <c r="H10" s="154" t="s">
        <v>295</v>
      </c>
      <c r="I10" s="359" t="s">
        <v>366</v>
      </c>
      <c r="J10" s="51"/>
      <c r="K10" s="51"/>
      <c r="L10" s="51"/>
      <c r="M10" s="51"/>
    </row>
    <row r="11" spans="1:13" ht="35.25" customHeight="1" outlineLevel="2">
      <c r="A11" s="382">
        <v>265</v>
      </c>
      <c r="B11" s="377">
        <v>41887</v>
      </c>
      <c r="C11" s="244" t="s">
        <v>530</v>
      </c>
      <c r="D11" s="601" t="s">
        <v>453</v>
      </c>
      <c r="E11" s="155">
        <v>2500</v>
      </c>
      <c r="F11" s="158" t="s">
        <v>52</v>
      </c>
      <c r="G11" s="340" t="s">
        <v>126</v>
      </c>
      <c r="H11" s="154" t="s">
        <v>294</v>
      </c>
      <c r="I11" s="359" t="s">
        <v>366</v>
      </c>
      <c r="J11" s="51"/>
      <c r="K11" s="51"/>
      <c r="L11" s="51"/>
      <c r="M11" s="51"/>
    </row>
    <row r="12" spans="1:13" ht="35.25" customHeight="1" outlineLevel="1">
      <c r="A12" s="382"/>
      <c r="B12" s="377"/>
      <c r="C12" s="244"/>
      <c r="D12" s="601"/>
      <c r="E12" s="155">
        <f>SUBTOTAL(9,E9:E11)</f>
        <v>8933.28</v>
      </c>
      <c r="F12" s="636" t="s">
        <v>1040</v>
      </c>
      <c r="G12" s="340"/>
      <c r="H12" s="154"/>
      <c r="I12" s="359">
        <f>SUBTOTAL(9,I9:I11)</f>
        <v>0</v>
      </c>
      <c r="J12" s="51"/>
      <c r="K12" s="51"/>
      <c r="L12" s="51"/>
      <c r="M12" s="51"/>
    </row>
    <row r="13" spans="1:13" ht="35.25" customHeight="1" outlineLevel="2">
      <c r="A13" s="382">
        <v>33</v>
      </c>
      <c r="B13" s="377">
        <v>41673</v>
      </c>
      <c r="C13" s="152" t="s">
        <v>444</v>
      </c>
      <c r="D13" s="340" t="s">
        <v>323</v>
      </c>
      <c r="E13" s="370">
        <v>2500</v>
      </c>
      <c r="F13" s="158" t="s">
        <v>54</v>
      </c>
      <c r="G13" s="159" t="s">
        <v>275</v>
      </c>
      <c r="H13" s="154" t="s">
        <v>294</v>
      </c>
      <c r="I13" s="359" t="s">
        <v>366</v>
      </c>
      <c r="J13" s="51"/>
      <c r="K13" s="51"/>
      <c r="L13" s="51"/>
      <c r="M13" s="51"/>
    </row>
    <row r="14" spans="1:13" ht="35.25" customHeight="1" outlineLevel="2">
      <c r="A14" s="382">
        <v>38</v>
      </c>
      <c r="B14" s="377">
        <v>41687</v>
      </c>
      <c r="C14" s="152" t="s">
        <v>449</v>
      </c>
      <c r="D14" s="340" t="s">
        <v>335</v>
      </c>
      <c r="E14" s="370">
        <v>15000</v>
      </c>
      <c r="F14" s="158" t="s">
        <v>54</v>
      </c>
      <c r="G14" s="340" t="s">
        <v>275</v>
      </c>
      <c r="H14" s="154" t="s">
        <v>294</v>
      </c>
      <c r="I14" s="359" t="s">
        <v>335</v>
      </c>
      <c r="J14" s="51"/>
      <c r="K14" s="51"/>
      <c r="L14" s="51"/>
      <c r="M14" s="51"/>
    </row>
    <row r="15" spans="1:13" ht="35.25" customHeight="1" outlineLevel="2">
      <c r="A15" s="382">
        <v>185</v>
      </c>
      <c r="B15" s="377">
        <v>41782</v>
      </c>
      <c r="C15" s="152" t="s">
        <v>500</v>
      </c>
      <c r="D15" s="340" t="s">
        <v>501</v>
      </c>
      <c r="E15" s="155">
        <v>1255.54</v>
      </c>
      <c r="F15" s="158" t="s">
        <v>54</v>
      </c>
      <c r="G15" s="340" t="s">
        <v>275</v>
      </c>
      <c r="H15" s="154" t="s">
        <v>294</v>
      </c>
      <c r="I15" s="359" t="s">
        <v>366</v>
      </c>
      <c r="J15" s="51"/>
      <c r="K15" s="51"/>
      <c r="L15" s="51"/>
      <c r="M15" s="51"/>
    </row>
    <row r="16" spans="1:13" ht="35.25" customHeight="1" outlineLevel="1">
      <c r="A16" s="382"/>
      <c r="B16" s="377"/>
      <c r="C16" s="152"/>
      <c r="D16" s="340"/>
      <c r="E16" s="155">
        <f>SUBTOTAL(9,E13:E15)</f>
        <v>18755.54</v>
      </c>
      <c r="F16" s="636" t="s">
        <v>1041</v>
      </c>
      <c r="G16" s="340"/>
      <c r="H16" s="154"/>
      <c r="I16" s="359">
        <f>SUBTOTAL(9,I13:I15)</f>
        <v>0</v>
      </c>
      <c r="J16" s="51"/>
      <c r="K16" s="51"/>
      <c r="L16" s="51"/>
      <c r="M16" s="51"/>
    </row>
    <row r="17" spans="1:13" ht="35.25" customHeight="1" outlineLevel="2">
      <c r="A17" s="382">
        <v>32</v>
      </c>
      <c r="B17" s="377">
        <v>41673</v>
      </c>
      <c r="C17" s="152" t="s">
        <v>443</v>
      </c>
      <c r="D17" s="340" t="s">
        <v>369</v>
      </c>
      <c r="E17" s="370">
        <v>36.6</v>
      </c>
      <c r="F17" s="158" t="s">
        <v>57</v>
      </c>
      <c r="G17" s="159" t="s">
        <v>69</v>
      </c>
      <c r="H17" s="154" t="s">
        <v>294</v>
      </c>
      <c r="I17" s="359" t="s">
        <v>366</v>
      </c>
      <c r="J17" s="51"/>
      <c r="K17" s="51"/>
      <c r="L17" s="51"/>
      <c r="M17" s="51"/>
    </row>
    <row r="18" spans="1:13" ht="35.25" customHeight="1" outlineLevel="2">
      <c r="A18" s="382">
        <v>301</v>
      </c>
      <c r="B18" s="377">
        <v>41946</v>
      </c>
      <c r="C18" s="152" t="s">
        <v>943</v>
      </c>
      <c r="D18" s="340" t="s">
        <v>388</v>
      </c>
      <c r="E18" s="155">
        <v>65.88</v>
      </c>
      <c r="F18" s="158" t="s">
        <v>57</v>
      </c>
      <c r="G18" s="340" t="s">
        <v>69</v>
      </c>
      <c r="H18" s="154" t="s">
        <v>294</v>
      </c>
      <c r="I18" s="359" t="s">
        <v>366</v>
      </c>
      <c r="J18" s="51"/>
      <c r="K18" s="51"/>
      <c r="L18" s="51"/>
      <c r="M18" s="51"/>
    </row>
    <row r="19" spans="1:13" ht="35.25" customHeight="1" outlineLevel="2">
      <c r="A19" s="382">
        <v>312</v>
      </c>
      <c r="B19" s="377">
        <v>41974</v>
      </c>
      <c r="C19" s="152" t="s">
        <v>949</v>
      </c>
      <c r="D19" s="340" t="s">
        <v>453</v>
      </c>
      <c r="E19" s="155">
        <v>16.62</v>
      </c>
      <c r="F19" s="158" t="s">
        <v>57</v>
      </c>
      <c r="G19" s="340" t="s">
        <v>69</v>
      </c>
      <c r="H19" s="154" t="s">
        <v>294</v>
      </c>
      <c r="I19" s="359" t="s">
        <v>366</v>
      </c>
      <c r="J19" s="51"/>
      <c r="K19" s="51"/>
      <c r="L19" s="51"/>
      <c r="M19" s="51"/>
    </row>
    <row r="20" spans="1:13" ht="35.25" customHeight="1" outlineLevel="1">
      <c r="A20" s="382"/>
      <c r="B20" s="377"/>
      <c r="C20" s="152"/>
      <c r="D20" s="340"/>
      <c r="E20" s="155">
        <f>SUBTOTAL(9,E17:E19)</f>
        <v>119.1</v>
      </c>
      <c r="F20" s="636" t="s">
        <v>1042</v>
      </c>
      <c r="G20" s="340"/>
      <c r="H20" s="154"/>
      <c r="I20" s="359">
        <f>SUBTOTAL(9,I17:I19)</f>
        <v>0</v>
      </c>
      <c r="J20" s="51"/>
      <c r="K20" s="51"/>
      <c r="L20" s="51"/>
      <c r="M20" s="51"/>
    </row>
    <row r="21" spans="1:13" ht="35.25" customHeight="1" outlineLevel="2">
      <c r="A21" s="382">
        <v>188</v>
      </c>
      <c r="B21" s="377">
        <v>41792</v>
      </c>
      <c r="C21" s="152" t="s">
        <v>504</v>
      </c>
      <c r="D21" s="340" t="s">
        <v>453</v>
      </c>
      <c r="E21" s="155">
        <v>15.05</v>
      </c>
      <c r="F21" s="158" t="s">
        <v>58</v>
      </c>
      <c r="G21" s="340" t="s">
        <v>71</v>
      </c>
      <c r="H21" s="154" t="s">
        <v>294</v>
      </c>
      <c r="I21" s="359" t="s">
        <v>366</v>
      </c>
      <c r="J21" s="51"/>
      <c r="K21" s="51"/>
      <c r="L21" s="51"/>
      <c r="M21" s="51"/>
    </row>
    <row r="22" spans="1:13" ht="35.25" customHeight="1" outlineLevel="2">
      <c r="A22" s="382">
        <v>202</v>
      </c>
      <c r="B22" s="377">
        <v>41820</v>
      </c>
      <c r="C22" s="152" t="s">
        <v>511</v>
      </c>
      <c r="D22" s="340" t="s">
        <v>373</v>
      </c>
      <c r="E22" s="155">
        <v>11.55</v>
      </c>
      <c r="F22" s="158" t="s">
        <v>58</v>
      </c>
      <c r="G22" s="340" t="s">
        <v>71</v>
      </c>
      <c r="H22" s="154" t="s">
        <v>294</v>
      </c>
      <c r="I22" s="359" t="s">
        <v>366</v>
      </c>
      <c r="J22" s="51"/>
      <c r="K22" s="51"/>
      <c r="L22" s="51"/>
      <c r="M22" s="51"/>
    </row>
    <row r="23" spans="1:13" ht="35.25" customHeight="1" outlineLevel="2">
      <c r="A23" s="382">
        <v>241</v>
      </c>
      <c r="B23" s="377">
        <v>41883</v>
      </c>
      <c r="C23" s="152" t="s">
        <v>520</v>
      </c>
      <c r="D23" s="340" t="s">
        <v>373</v>
      </c>
      <c r="E23" s="155">
        <v>29.5</v>
      </c>
      <c r="F23" s="158" t="s">
        <v>58</v>
      </c>
      <c r="G23" s="340" t="s">
        <v>71</v>
      </c>
      <c r="H23" s="154" t="s">
        <v>294</v>
      </c>
      <c r="I23" s="359" t="s">
        <v>366</v>
      </c>
      <c r="J23" s="51"/>
      <c r="K23" s="51"/>
      <c r="L23" s="51"/>
      <c r="M23" s="51"/>
    </row>
    <row r="24" spans="1:13" ht="35.25" customHeight="1" outlineLevel="2">
      <c r="A24" s="382">
        <v>275</v>
      </c>
      <c r="B24" s="377">
        <v>41899</v>
      </c>
      <c r="C24" s="152" t="s">
        <v>540</v>
      </c>
      <c r="D24" s="340" t="s">
        <v>388</v>
      </c>
      <c r="E24" s="155">
        <v>70.5</v>
      </c>
      <c r="F24" s="158" t="s">
        <v>58</v>
      </c>
      <c r="G24" s="340" t="s">
        <v>71</v>
      </c>
      <c r="H24" s="154" t="s">
        <v>294</v>
      </c>
      <c r="I24" s="359" t="s">
        <v>366</v>
      </c>
      <c r="J24" s="51"/>
      <c r="K24" s="51"/>
      <c r="L24" s="51"/>
      <c r="M24" s="51"/>
    </row>
    <row r="25" spans="1:13" ht="35.25" customHeight="1" outlineLevel="2">
      <c r="A25" s="382">
        <v>311</v>
      </c>
      <c r="B25" s="377">
        <v>41974</v>
      </c>
      <c r="C25" s="152" t="s">
        <v>949</v>
      </c>
      <c r="D25" s="340" t="s">
        <v>453</v>
      </c>
      <c r="E25" s="155">
        <v>9.3</v>
      </c>
      <c r="F25" s="158" t="s">
        <v>58</v>
      </c>
      <c r="G25" s="340" t="s">
        <v>71</v>
      </c>
      <c r="H25" s="154" t="s">
        <v>294</v>
      </c>
      <c r="I25" s="359" t="s">
        <v>366</v>
      </c>
      <c r="J25" s="51"/>
      <c r="K25" s="51"/>
      <c r="L25" s="51"/>
      <c r="M25" s="51"/>
    </row>
    <row r="26" spans="1:13" ht="35.25" customHeight="1" outlineLevel="1">
      <c r="A26" s="382"/>
      <c r="B26" s="377"/>
      <c r="C26" s="152"/>
      <c r="D26" s="340"/>
      <c r="E26" s="155">
        <f>SUBTOTAL(9,E21:E25)</f>
        <v>135.9</v>
      </c>
      <c r="F26" s="636" t="s">
        <v>1043</v>
      </c>
      <c r="G26" s="340"/>
      <c r="H26" s="154"/>
      <c r="I26" s="359">
        <f>SUBTOTAL(9,I21:I25)</f>
        <v>0</v>
      </c>
      <c r="J26" s="51"/>
      <c r="K26" s="51"/>
      <c r="L26" s="51"/>
      <c r="M26" s="51"/>
    </row>
    <row r="27" spans="1:13" ht="35.25" customHeight="1" outlineLevel="2">
      <c r="A27" s="382">
        <v>297</v>
      </c>
      <c r="B27" s="377">
        <v>41946</v>
      </c>
      <c r="C27" s="152" t="s">
        <v>939</v>
      </c>
      <c r="D27" s="340" t="s">
        <v>388</v>
      </c>
      <c r="E27" s="155">
        <v>103.17</v>
      </c>
      <c r="F27" s="158" t="s">
        <v>135</v>
      </c>
      <c r="G27" s="340" t="s">
        <v>158</v>
      </c>
      <c r="H27" s="154" t="s">
        <v>294</v>
      </c>
      <c r="I27" s="359" t="s">
        <v>366</v>
      </c>
      <c r="J27" s="51"/>
      <c r="K27" s="51"/>
      <c r="L27" s="51"/>
      <c r="M27" s="51"/>
    </row>
    <row r="28" spans="1:13" ht="35.25" customHeight="1" outlineLevel="1">
      <c r="A28" s="382"/>
      <c r="B28" s="377"/>
      <c r="C28" s="152"/>
      <c r="D28" s="340"/>
      <c r="E28" s="155">
        <f>SUBTOTAL(9,E27:E27)</f>
        <v>103.17</v>
      </c>
      <c r="F28" s="636" t="s">
        <v>1044</v>
      </c>
      <c r="G28" s="340"/>
      <c r="H28" s="154"/>
      <c r="I28" s="359">
        <f>SUBTOTAL(9,I27:I27)</f>
        <v>0</v>
      </c>
      <c r="J28" s="51"/>
      <c r="K28" s="51"/>
      <c r="L28" s="51"/>
      <c r="M28" s="51"/>
    </row>
    <row r="29" spans="1:13" ht="35.25" customHeight="1" outlineLevel="2">
      <c r="A29" s="382">
        <v>203</v>
      </c>
      <c r="B29" s="574">
        <v>41820</v>
      </c>
      <c r="C29" s="575" t="s">
        <v>386</v>
      </c>
      <c r="D29" s="576" t="s">
        <v>293</v>
      </c>
      <c r="E29" s="577">
        <v>38.49</v>
      </c>
      <c r="F29" s="578" t="s">
        <v>60</v>
      </c>
      <c r="G29" s="576" t="s">
        <v>138</v>
      </c>
      <c r="H29" s="562" t="s">
        <v>294</v>
      </c>
      <c r="I29" s="582" t="s">
        <v>751</v>
      </c>
      <c r="J29" s="51"/>
      <c r="K29" s="51"/>
      <c r="L29" s="51"/>
      <c r="M29" s="51"/>
    </row>
    <row r="30" spans="1:13" ht="35.25" customHeight="1" outlineLevel="2">
      <c r="A30" s="382">
        <v>276</v>
      </c>
      <c r="B30" s="574">
        <v>41912</v>
      </c>
      <c r="C30" s="575" t="s">
        <v>386</v>
      </c>
      <c r="D30" s="576" t="s">
        <v>293</v>
      </c>
      <c r="E30" s="577">
        <v>0.04</v>
      </c>
      <c r="F30" s="578" t="s">
        <v>60</v>
      </c>
      <c r="G30" s="576" t="s">
        <v>138</v>
      </c>
      <c r="H30" s="562" t="s">
        <v>294</v>
      </c>
      <c r="I30" s="582" t="s">
        <v>751</v>
      </c>
      <c r="J30" s="51"/>
      <c r="K30" s="51"/>
      <c r="L30" s="51"/>
      <c r="M30" s="51"/>
    </row>
    <row r="31" spans="1:13" ht="35.25" customHeight="1" outlineLevel="1">
      <c r="A31" s="382"/>
      <c r="B31" s="574"/>
      <c r="C31" s="575"/>
      <c r="D31" s="576"/>
      <c r="E31" s="577">
        <f>SUBTOTAL(9,E29:E30)</f>
        <v>38.53</v>
      </c>
      <c r="F31" s="637" t="s">
        <v>1045</v>
      </c>
      <c r="G31" s="576"/>
      <c r="H31" s="562"/>
      <c r="I31" s="582">
        <f>SUBTOTAL(9,I29:I30)</f>
        <v>0</v>
      </c>
      <c r="J31" s="51"/>
      <c r="K31" s="51"/>
      <c r="L31" s="51"/>
      <c r="M31" s="51"/>
    </row>
    <row r="32" spans="1:13" ht="35.25" customHeight="1" outlineLevel="2">
      <c r="A32" s="382">
        <v>1</v>
      </c>
      <c r="B32" s="377">
        <v>41641</v>
      </c>
      <c r="C32" s="152" t="s">
        <v>428</v>
      </c>
      <c r="D32" s="340" t="s">
        <v>293</v>
      </c>
      <c r="E32" s="370">
        <v>5.85</v>
      </c>
      <c r="F32" s="158" t="s">
        <v>1070</v>
      </c>
      <c r="G32" s="159" t="s">
        <v>243</v>
      </c>
      <c r="H32" s="154" t="s">
        <v>294</v>
      </c>
      <c r="I32" s="359" t="s">
        <v>366</v>
      </c>
      <c r="J32" s="51"/>
      <c r="K32" s="51"/>
      <c r="L32" s="51"/>
      <c r="M32" s="51"/>
    </row>
    <row r="33" spans="1:13" ht="35.25" customHeight="1" outlineLevel="2">
      <c r="A33" s="382">
        <v>3</v>
      </c>
      <c r="B33" s="574">
        <v>41641</v>
      </c>
      <c r="C33" s="575" t="s">
        <v>752</v>
      </c>
      <c r="D33" s="576" t="s">
        <v>293</v>
      </c>
      <c r="E33" s="577">
        <v>6</v>
      </c>
      <c r="F33" s="578" t="s">
        <v>1070</v>
      </c>
      <c r="G33" s="576" t="s">
        <v>243</v>
      </c>
      <c r="H33" s="562" t="s">
        <v>294</v>
      </c>
      <c r="I33" s="582" t="s">
        <v>751</v>
      </c>
      <c r="J33" s="51"/>
      <c r="K33" s="51"/>
      <c r="L33" s="51"/>
      <c r="M33" s="51"/>
    </row>
    <row r="34" spans="1:13" ht="35.25" customHeight="1" outlineLevel="2">
      <c r="A34" s="382">
        <v>27</v>
      </c>
      <c r="B34" s="377">
        <v>41673</v>
      </c>
      <c r="C34" s="152" t="s">
        <v>442</v>
      </c>
      <c r="D34" s="340" t="s">
        <v>293</v>
      </c>
      <c r="E34" s="370">
        <v>5.85</v>
      </c>
      <c r="F34" s="158" t="s">
        <v>1070</v>
      </c>
      <c r="G34" s="159" t="s">
        <v>243</v>
      </c>
      <c r="H34" s="154" t="s">
        <v>294</v>
      </c>
      <c r="I34" s="359" t="s">
        <v>366</v>
      </c>
      <c r="J34" s="51"/>
      <c r="K34" s="51"/>
      <c r="L34" s="51"/>
      <c r="M34" s="51"/>
    </row>
    <row r="35" spans="1:13" ht="35.25" customHeight="1" outlineLevel="2">
      <c r="A35" s="382">
        <v>36</v>
      </c>
      <c r="B35" s="574">
        <v>41673</v>
      </c>
      <c r="C35" s="575" t="s">
        <v>753</v>
      </c>
      <c r="D35" s="576" t="s">
        <v>293</v>
      </c>
      <c r="E35" s="577">
        <v>6</v>
      </c>
      <c r="F35" s="578" t="s">
        <v>1070</v>
      </c>
      <c r="G35" s="576" t="s">
        <v>243</v>
      </c>
      <c r="H35" s="562" t="s">
        <v>294</v>
      </c>
      <c r="I35" s="582" t="s">
        <v>751</v>
      </c>
      <c r="J35" s="51"/>
      <c r="K35" s="51"/>
      <c r="L35" s="51"/>
      <c r="M35" s="51"/>
    </row>
    <row r="36" spans="1:13" ht="35.25" customHeight="1" outlineLevel="2" thickBot="1">
      <c r="A36" s="382">
        <v>50</v>
      </c>
      <c r="B36" s="377">
        <v>41701</v>
      </c>
      <c r="C36" s="152" t="s">
        <v>459</v>
      </c>
      <c r="D36" s="340" t="s">
        <v>293</v>
      </c>
      <c r="E36" s="370">
        <v>5.85</v>
      </c>
      <c r="F36" s="158" t="s">
        <v>1070</v>
      </c>
      <c r="G36" s="159" t="s">
        <v>243</v>
      </c>
      <c r="H36" s="154" t="s">
        <v>294</v>
      </c>
      <c r="I36" s="359" t="s">
        <v>366</v>
      </c>
      <c r="J36" s="51"/>
      <c r="K36" s="51"/>
      <c r="L36" s="51"/>
      <c r="M36" s="51"/>
    </row>
    <row r="37" spans="1:13" ht="35.25" customHeight="1" outlineLevel="2" thickTop="1">
      <c r="A37" s="382">
        <v>51</v>
      </c>
      <c r="B37" s="574">
        <v>41701</v>
      </c>
      <c r="C37" s="575" t="s">
        <v>754</v>
      </c>
      <c r="D37" s="576" t="s">
        <v>293</v>
      </c>
      <c r="E37" s="577">
        <v>6</v>
      </c>
      <c r="F37" s="647" t="s">
        <v>1070</v>
      </c>
      <c r="G37" s="648" t="s">
        <v>243</v>
      </c>
      <c r="H37" s="562" t="s">
        <v>294</v>
      </c>
      <c r="I37" s="582" t="s">
        <v>751</v>
      </c>
      <c r="J37" s="51"/>
      <c r="K37" s="51"/>
      <c r="L37" s="51"/>
      <c r="M37" s="51"/>
    </row>
    <row r="38" spans="1:13" ht="35.25" customHeight="1" outlineLevel="2">
      <c r="A38" s="382">
        <v>86</v>
      </c>
      <c r="B38" s="377">
        <v>41730</v>
      </c>
      <c r="C38" s="344" t="s">
        <v>486</v>
      </c>
      <c r="D38" s="340" t="s">
        <v>293</v>
      </c>
      <c r="E38" s="372">
        <v>5.85</v>
      </c>
      <c r="F38" s="158" t="s">
        <v>1070</v>
      </c>
      <c r="G38" s="159" t="s">
        <v>243</v>
      </c>
      <c r="H38" s="154" t="s">
        <v>294</v>
      </c>
      <c r="I38" s="359" t="s">
        <v>366</v>
      </c>
      <c r="J38" s="51"/>
      <c r="K38" s="51"/>
      <c r="L38" s="51"/>
      <c r="M38" s="51"/>
    </row>
    <row r="39" spans="1:13" ht="35.25" customHeight="1" outlineLevel="2">
      <c r="A39" s="382">
        <v>88</v>
      </c>
      <c r="B39" s="574">
        <v>41730</v>
      </c>
      <c r="C39" s="575" t="s">
        <v>755</v>
      </c>
      <c r="D39" s="576" t="s">
        <v>293</v>
      </c>
      <c r="E39" s="577">
        <v>6</v>
      </c>
      <c r="F39" s="578" t="s">
        <v>1070</v>
      </c>
      <c r="G39" s="576" t="s">
        <v>243</v>
      </c>
      <c r="H39" s="562" t="s">
        <v>294</v>
      </c>
      <c r="I39" s="582" t="s">
        <v>751</v>
      </c>
      <c r="J39" s="51"/>
      <c r="K39" s="51"/>
      <c r="L39" s="51"/>
      <c r="M39" s="51"/>
    </row>
    <row r="40" spans="1:13" ht="35.25" customHeight="1" outlineLevel="2">
      <c r="A40" s="382">
        <v>108</v>
      </c>
      <c r="B40" s="377">
        <v>41761</v>
      </c>
      <c r="C40" s="152" t="s">
        <v>490</v>
      </c>
      <c r="D40" s="340" t="s">
        <v>293</v>
      </c>
      <c r="E40" s="155">
        <v>5.85</v>
      </c>
      <c r="F40" s="158" t="s">
        <v>1070</v>
      </c>
      <c r="G40" s="159" t="s">
        <v>243</v>
      </c>
      <c r="H40" s="154" t="s">
        <v>294</v>
      </c>
      <c r="I40" s="359" t="s">
        <v>366</v>
      </c>
      <c r="J40" s="51"/>
      <c r="K40" s="51"/>
      <c r="L40" s="51"/>
      <c r="M40" s="51"/>
    </row>
    <row r="41" spans="1:13" ht="35.25" customHeight="1" outlineLevel="2">
      <c r="A41" s="382">
        <v>109</v>
      </c>
      <c r="B41" s="574">
        <v>41761</v>
      </c>
      <c r="C41" s="575" t="s">
        <v>756</v>
      </c>
      <c r="D41" s="576" t="s">
        <v>293</v>
      </c>
      <c r="E41" s="577">
        <v>6</v>
      </c>
      <c r="F41" s="578" t="s">
        <v>1070</v>
      </c>
      <c r="G41" s="576" t="s">
        <v>243</v>
      </c>
      <c r="H41" s="562" t="s">
        <v>294</v>
      </c>
      <c r="I41" s="582" t="s">
        <v>751</v>
      </c>
      <c r="J41" s="51"/>
      <c r="K41" s="51"/>
      <c r="L41" s="51"/>
      <c r="M41" s="51"/>
    </row>
    <row r="42" spans="1:13" ht="35.25" customHeight="1" outlineLevel="2">
      <c r="A42" s="382">
        <v>186</v>
      </c>
      <c r="B42" s="377">
        <v>41792</v>
      </c>
      <c r="C42" s="152" t="s">
        <v>502</v>
      </c>
      <c r="D42" s="340" t="s">
        <v>293</v>
      </c>
      <c r="E42" s="155">
        <v>5.85</v>
      </c>
      <c r="F42" s="158" t="s">
        <v>1070</v>
      </c>
      <c r="G42" s="159" t="s">
        <v>243</v>
      </c>
      <c r="H42" s="154" t="s">
        <v>294</v>
      </c>
      <c r="I42" s="359" t="s">
        <v>366</v>
      </c>
      <c r="J42" s="51"/>
      <c r="K42" s="51"/>
      <c r="L42" s="51"/>
      <c r="M42" s="51"/>
    </row>
    <row r="43" spans="1:13" ht="35.25" customHeight="1" outlineLevel="2">
      <c r="A43" s="382">
        <v>204</v>
      </c>
      <c r="B43" s="377">
        <v>41821</v>
      </c>
      <c r="C43" s="152" t="s">
        <v>512</v>
      </c>
      <c r="D43" s="340" t="s">
        <v>293</v>
      </c>
      <c r="E43" s="155">
        <v>5.85</v>
      </c>
      <c r="F43" s="158" t="s">
        <v>1070</v>
      </c>
      <c r="G43" s="159" t="s">
        <v>243</v>
      </c>
      <c r="H43" s="154" t="s">
        <v>294</v>
      </c>
      <c r="I43" s="359" t="s">
        <v>366</v>
      </c>
      <c r="J43" s="51"/>
      <c r="K43" s="51"/>
      <c r="L43" s="51"/>
      <c r="M43" s="51"/>
    </row>
    <row r="44" spans="1:13" ht="35.25" customHeight="1" outlineLevel="2">
      <c r="A44" s="382">
        <v>206</v>
      </c>
      <c r="B44" s="574">
        <v>41821</v>
      </c>
      <c r="C44" s="575" t="s">
        <v>810</v>
      </c>
      <c r="D44" s="576" t="s">
        <v>293</v>
      </c>
      <c r="E44" s="577">
        <v>6</v>
      </c>
      <c r="F44" s="578" t="s">
        <v>1070</v>
      </c>
      <c r="G44" s="576" t="s">
        <v>243</v>
      </c>
      <c r="H44" s="562" t="s">
        <v>294</v>
      </c>
      <c r="I44" s="582" t="s">
        <v>751</v>
      </c>
      <c r="J44" s="51"/>
      <c r="K44" s="51"/>
      <c r="L44" s="51"/>
      <c r="M44" s="51"/>
    </row>
    <row r="45" spans="1:13" ht="35.25" customHeight="1" outlineLevel="2">
      <c r="A45" s="382">
        <v>223</v>
      </c>
      <c r="B45" s="377">
        <v>41852</v>
      </c>
      <c r="C45" s="152" t="s">
        <v>518</v>
      </c>
      <c r="D45" s="340" t="s">
        <v>293</v>
      </c>
      <c r="E45" s="155">
        <v>5.85</v>
      </c>
      <c r="F45" s="158" t="s">
        <v>1070</v>
      </c>
      <c r="G45" s="159" t="s">
        <v>243</v>
      </c>
      <c r="H45" s="154" t="s">
        <v>294</v>
      </c>
      <c r="I45" s="359" t="s">
        <v>366</v>
      </c>
      <c r="J45" s="51"/>
      <c r="K45" s="51"/>
      <c r="L45" s="51"/>
      <c r="M45" s="51"/>
    </row>
    <row r="46" spans="1:13" ht="35.25" customHeight="1" outlineLevel="2">
      <c r="A46" s="382">
        <v>226</v>
      </c>
      <c r="B46" s="377">
        <v>41883</v>
      </c>
      <c r="C46" s="152" t="s">
        <v>519</v>
      </c>
      <c r="D46" s="340" t="s">
        <v>293</v>
      </c>
      <c r="E46" s="155">
        <v>5.85</v>
      </c>
      <c r="F46" s="158" t="s">
        <v>1070</v>
      </c>
      <c r="G46" s="159" t="s">
        <v>243</v>
      </c>
      <c r="H46" s="154" t="s">
        <v>294</v>
      </c>
      <c r="I46" s="359" t="s">
        <v>366</v>
      </c>
      <c r="J46" s="51"/>
      <c r="K46" s="51"/>
      <c r="L46" s="51"/>
      <c r="M46" s="51"/>
    </row>
    <row r="47" spans="1:13" ht="35.25" customHeight="1" outlineLevel="2">
      <c r="A47" s="382">
        <v>278</v>
      </c>
      <c r="B47" s="377">
        <v>41913</v>
      </c>
      <c r="C47" s="152" t="s">
        <v>985</v>
      </c>
      <c r="D47" s="340" t="s">
        <v>293</v>
      </c>
      <c r="E47" s="155">
        <v>5.85</v>
      </c>
      <c r="F47" s="158" t="s">
        <v>1070</v>
      </c>
      <c r="G47" s="159" t="s">
        <v>243</v>
      </c>
      <c r="H47" s="154" t="s">
        <v>294</v>
      </c>
      <c r="I47" s="359" t="s">
        <v>366</v>
      </c>
      <c r="J47" s="51"/>
      <c r="K47" s="51"/>
      <c r="L47" s="51"/>
      <c r="M47" s="51"/>
    </row>
    <row r="48" spans="1:13" ht="35.25" customHeight="1" outlineLevel="2">
      <c r="A48" s="382">
        <v>290</v>
      </c>
      <c r="B48" s="377">
        <v>41946</v>
      </c>
      <c r="C48" s="152" t="s">
        <v>938</v>
      </c>
      <c r="D48" s="340" t="s">
        <v>293</v>
      </c>
      <c r="E48" s="155">
        <v>5.85</v>
      </c>
      <c r="F48" s="158" t="s">
        <v>1070</v>
      </c>
      <c r="G48" s="159" t="s">
        <v>243</v>
      </c>
      <c r="H48" s="154" t="s">
        <v>294</v>
      </c>
      <c r="I48" s="359" t="s">
        <v>366</v>
      </c>
      <c r="J48" s="51"/>
      <c r="K48" s="51"/>
      <c r="L48" s="51"/>
      <c r="M48" s="51"/>
    </row>
    <row r="49" spans="1:13" ht="35.25" customHeight="1" outlineLevel="2">
      <c r="A49" s="382">
        <v>307</v>
      </c>
      <c r="B49" s="377">
        <v>41974</v>
      </c>
      <c r="C49" s="152" t="s">
        <v>947</v>
      </c>
      <c r="D49" s="340" t="s">
        <v>293</v>
      </c>
      <c r="E49" s="155">
        <v>5.85</v>
      </c>
      <c r="F49" s="158" t="s">
        <v>1070</v>
      </c>
      <c r="G49" s="159" t="s">
        <v>243</v>
      </c>
      <c r="H49" s="154" t="s">
        <v>294</v>
      </c>
      <c r="I49" s="359" t="s">
        <v>366</v>
      </c>
      <c r="J49" s="51"/>
      <c r="K49" s="51"/>
      <c r="L49" s="51"/>
      <c r="M49" s="51"/>
    </row>
    <row r="50" spans="1:13" ht="35.25" customHeight="1" outlineLevel="1">
      <c r="A50" s="382"/>
      <c r="B50" s="377"/>
      <c r="C50" s="152"/>
      <c r="D50" s="340"/>
      <c r="E50" s="155">
        <f>SUBTOTAL(9,E32:E49)</f>
        <v>106.19999999999996</v>
      </c>
      <c r="F50" s="636" t="s">
        <v>1071</v>
      </c>
      <c r="G50" s="159"/>
      <c r="H50" s="154"/>
      <c r="I50" s="359">
        <f>SUBTOTAL(9,I32:I49)</f>
        <v>0</v>
      </c>
      <c r="J50" s="51"/>
      <c r="K50" s="51"/>
      <c r="L50" s="51"/>
      <c r="M50" s="51"/>
    </row>
    <row r="51" spans="1:13" ht="35.25" customHeight="1" outlineLevel="2">
      <c r="A51" s="382">
        <v>2</v>
      </c>
      <c r="B51" s="377">
        <v>41641</v>
      </c>
      <c r="C51" s="152" t="s">
        <v>387</v>
      </c>
      <c r="D51" s="340" t="s">
        <v>293</v>
      </c>
      <c r="E51" s="370">
        <v>25.21</v>
      </c>
      <c r="F51" s="158" t="s">
        <v>141</v>
      </c>
      <c r="G51" s="159" t="s">
        <v>142</v>
      </c>
      <c r="H51" s="154" t="s">
        <v>294</v>
      </c>
      <c r="I51" s="359" t="s">
        <v>366</v>
      </c>
      <c r="J51" s="51"/>
      <c r="K51" s="51"/>
      <c r="L51" s="51"/>
      <c r="M51" s="51"/>
    </row>
    <row r="52" spans="1:13" ht="35.25" customHeight="1" outlineLevel="2">
      <c r="A52" s="382">
        <v>4</v>
      </c>
      <c r="B52" s="574">
        <v>41641</v>
      </c>
      <c r="C52" s="575" t="s">
        <v>387</v>
      </c>
      <c r="D52" s="576" t="s">
        <v>293</v>
      </c>
      <c r="E52" s="577">
        <v>25.21</v>
      </c>
      <c r="F52" s="578" t="s">
        <v>141</v>
      </c>
      <c r="G52" s="576" t="s">
        <v>142</v>
      </c>
      <c r="H52" s="562" t="s">
        <v>294</v>
      </c>
      <c r="I52" s="582" t="s">
        <v>751</v>
      </c>
      <c r="J52" s="51"/>
      <c r="K52" s="51"/>
      <c r="L52" s="51"/>
      <c r="M52" s="51"/>
    </row>
    <row r="53" spans="1:13" ht="35.25" customHeight="1" outlineLevel="2">
      <c r="A53" s="382">
        <v>87</v>
      </c>
      <c r="B53" s="377">
        <v>41730</v>
      </c>
      <c r="C53" s="152" t="s">
        <v>387</v>
      </c>
      <c r="D53" s="340" t="s">
        <v>293</v>
      </c>
      <c r="E53" s="155">
        <v>24.66</v>
      </c>
      <c r="F53" s="158" t="s">
        <v>141</v>
      </c>
      <c r="G53" s="159" t="s">
        <v>142</v>
      </c>
      <c r="H53" s="154" t="s">
        <v>294</v>
      </c>
      <c r="I53" s="359" t="s">
        <v>366</v>
      </c>
      <c r="J53" s="51"/>
      <c r="K53" s="51"/>
      <c r="L53" s="51"/>
      <c r="M53" s="51"/>
    </row>
    <row r="54" spans="1:13" ht="35.25" customHeight="1" outlineLevel="2">
      <c r="A54" s="382">
        <v>118</v>
      </c>
      <c r="B54" s="377">
        <v>41766</v>
      </c>
      <c r="C54" s="364" t="s">
        <v>552</v>
      </c>
      <c r="D54" s="340" t="s">
        <v>334</v>
      </c>
      <c r="E54" s="155">
        <v>18.4</v>
      </c>
      <c r="F54" s="158" t="s">
        <v>141</v>
      </c>
      <c r="G54" s="159" t="s">
        <v>142</v>
      </c>
      <c r="H54" s="154" t="s">
        <v>294</v>
      </c>
      <c r="I54" s="359" t="s">
        <v>366</v>
      </c>
      <c r="J54" s="51"/>
      <c r="K54" s="51"/>
      <c r="L54" s="51"/>
      <c r="M54" s="51"/>
    </row>
    <row r="55" spans="1:13" ht="35.25" customHeight="1" outlineLevel="2">
      <c r="A55" s="382">
        <v>191</v>
      </c>
      <c r="B55" s="377">
        <v>41806</v>
      </c>
      <c r="C55" s="152" t="s">
        <v>674</v>
      </c>
      <c r="D55" s="340" t="s">
        <v>675</v>
      </c>
      <c r="E55" s="155">
        <v>200</v>
      </c>
      <c r="F55" s="158" t="s">
        <v>141</v>
      </c>
      <c r="G55" s="340" t="s">
        <v>142</v>
      </c>
      <c r="H55" s="154" t="s">
        <v>294</v>
      </c>
      <c r="I55" s="359" t="s">
        <v>366</v>
      </c>
      <c r="J55" s="51"/>
      <c r="K55" s="51"/>
      <c r="L55" s="51"/>
      <c r="M55" s="51"/>
    </row>
    <row r="56" spans="1:13" ht="35.25" customHeight="1" outlineLevel="2">
      <c r="A56" s="382">
        <v>192</v>
      </c>
      <c r="B56" s="377">
        <v>41806</v>
      </c>
      <c r="C56" s="152" t="s">
        <v>677</v>
      </c>
      <c r="D56" s="340" t="s">
        <v>381</v>
      </c>
      <c r="E56" s="155">
        <v>3058</v>
      </c>
      <c r="F56" s="158" t="s">
        <v>141</v>
      </c>
      <c r="G56" s="340" t="s">
        <v>142</v>
      </c>
      <c r="H56" s="154" t="s">
        <v>294</v>
      </c>
      <c r="I56" s="359" t="s">
        <v>366</v>
      </c>
      <c r="J56" s="51"/>
      <c r="K56" s="51"/>
      <c r="L56" s="51"/>
      <c r="M56" s="51"/>
    </row>
    <row r="57" spans="1:13" ht="35.25" customHeight="1" outlineLevel="2">
      <c r="A57" s="382">
        <v>193</v>
      </c>
      <c r="B57" s="377">
        <v>41806</v>
      </c>
      <c r="C57" s="152" t="s">
        <v>678</v>
      </c>
      <c r="D57" s="340" t="s">
        <v>381</v>
      </c>
      <c r="E57" s="155">
        <v>1776.66</v>
      </c>
      <c r="F57" s="158" t="s">
        <v>141</v>
      </c>
      <c r="G57" s="340" t="s">
        <v>142</v>
      </c>
      <c r="H57" s="154" t="s">
        <v>294</v>
      </c>
      <c r="I57" s="359" t="s">
        <v>366</v>
      </c>
      <c r="J57" s="51"/>
      <c r="K57" s="51"/>
      <c r="L57" s="51"/>
      <c r="M57" s="51"/>
    </row>
    <row r="58" spans="1:13" ht="35.25" customHeight="1" outlineLevel="2">
      <c r="A58" s="382">
        <v>205</v>
      </c>
      <c r="B58" s="377">
        <v>41821</v>
      </c>
      <c r="C58" s="152" t="s">
        <v>387</v>
      </c>
      <c r="D58" s="340" t="s">
        <v>293</v>
      </c>
      <c r="E58" s="155">
        <v>24.93</v>
      </c>
      <c r="F58" s="158" t="s">
        <v>141</v>
      </c>
      <c r="G58" s="159" t="s">
        <v>142</v>
      </c>
      <c r="H58" s="154" t="s">
        <v>294</v>
      </c>
      <c r="I58" s="359" t="s">
        <v>366</v>
      </c>
      <c r="J58" s="51"/>
      <c r="K58" s="51"/>
      <c r="L58" s="51"/>
      <c r="M58" s="51"/>
    </row>
    <row r="59" spans="1:13" ht="35.25" customHeight="1" outlineLevel="2">
      <c r="A59" s="382">
        <v>207</v>
      </c>
      <c r="B59" s="574">
        <v>41821</v>
      </c>
      <c r="C59" s="575" t="s">
        <v>387</v>
      </c>
      <c r="D59" s="576" t="s">
        <v>293</v>
      </c>
      <c r="E59" s="577">
        <v>24.93</v>
      </c>
      <c r="F59" s="578" t="s">
        <v>141</v>
      </c>
      <c r="G59" s="576" t="s">
        <v>142</v>
      </c>
      <c r="H59" s="562" t="s">
        <v>294</v>
      </c>
      <c r="I59" s="582" t="s">
        <v>751</v>
      </c>
      <c r="J59" s="51"/>
      <c r="K59" s="51"/>
      <c r="L59" s="51"/>
      <c r="M59" s="51"/>
    </row>
    <row r="60" spans="1:13" ht="35.25" customHeight="1" outlineLevel="2" thickBot="1">
      <c r="A60" s="382">
        <v>279</v>
      </c>
      <c r="B60" s="377">
        <v>41913</v>
      </c>
      <c r="C60" s="152" t="s">
        <v>387</v>
      </c>
      <c r="D60" s="340" t="s">
        <v>293</v>
      </c>
      <c r="E60" s="155">
        <v>25.2</v>
      </c>
      <c r="F60" s="158" t="s">
        <v>141</v>
      </c>
      <c r="G60" s="159" t="s">
        <v>142</v>
      </c>
      <c r="H60" s="154" t="s">
        <v>294</v>
      </c>
      <c r="I60" s="359" t="s">
        <v>366</v>
      </c>
      <c r="J60" s="51"/>
      <c r="K60" s="51"/>
      <c r="L60" s="51"/>
      <c r="M60" s="51"/>
    </row>
    <row r="61" spans="1:13" ht="35.25" customHeight="1" outlineLevel="2" thickTop="1">
      <c r="A61" s="382">
        <v>308</v>
      </c>
      <c r="B61" s="377">
        <v>41974</v>
      </c>
      <c r="C61" s="152" t="s">
        <v>807</v>
      </c>
      <c r="D61" s="340" t="s">
        <v>381</v>
      </c>
      <c r="E61" s="155">
        <v>2664.98</v>
      </c>
      <c r="F61" s="355" t="s">
        <v>141</v>
      </c>
      <c r="G61" s="356" t="s">
        <v>142</v>
      </c>
      <c r="H61" s="154" t="s">
        <v>294</v>
      </c>
      <c r="I61" s="359" t="s">
        <v>366</v>
      </c>
      <c r="J61" s="51"/>
      <c r="K61" s="51"/>
      <c r="L61" s="51"/>
      <c r="M61" s="51"/>
    </row>
    <row r="62" spans="1:13" ht="35.25" customHeight="1" outlineLevel="1">
      <c r="A62" s="382"/>
      <c r="B62" s="377"/>
      <c r="C62" s="152"/>
      <c r="D62" s="340"/>
      <c r="E62" s="155">
        <f>SUBTOTAL(9,E51:E61)</f>
        <v>7868.18</v>
      </c>
      <c r="F62" s="651" t="s">
        <v>1046</v>
      </c>
      <c r="G62" s="650"/>
      <c r="H62" s="154"/>
      <c r="I62" s="359">
        <f>SUBTOTAL(9,I51:I61)</f>
        <v>0</v>
      </c>
      <c r="J62" s="51"/>
      <c r="K62" s="51"/>
      <c r="L62" s="51"/>
      <c r="M62" s="51"/>
    </row>
    <row r="63" spans="1:13" ht="35.25" customHeight="1" outlineLevel="2">
      <c r="A63" s="382">
        <v>176</v>
      </c>
      <c r="B63" s="377">
        <v>41775</v>
      </c>
      <c r="C63" s="152" t="s">
        <v>666</v>
      </c>
      <c r="D63" s="340" t="s">
        <v>299</v>
      </c>
      <c r="E63" s="155">
        <v>2590.22</v>
      </c>
      <c r="F63" s="154" t="s">
        <v>230</v>
      </c>
      <c r="G63" s="154" t="s">
        <v>143</v>
      </c>
      <c r="H63" s="154" t="s">
        <v>294</v>
      </c>
      <c r="I63" s="359" t="s">
        <v>384</v>
      </c>
      <c r="J63" s="51"/>
      <c r="K63" s="51"/>
      <c r="L63" s="51"/>
      <c r="M63" s="51"/>
    </row>
    <row r="64" spans="1:13" ht="35.25" customHeight="1" outlineLevel="2">
      <c r="A64" s="382">
        <v>225</v>
      </c>
      <c r="B64" s="377">
        <v>41871</v>
      </c>
      <c r="C64" s="152" t="s">
        <v>684</v>
      </c>
      <c r="D64" s="340" t="s">
        <v>299</v>
      </c>
      <c r="E64" s="155">
        <v>2320.59</v>
      </c>
      <c r="F64" s="158" t="s">
        <v>230</v>
      </c>
      <c r="G64" s="340" t="s">
        <v>143</v>
      </c>
      <c r="H64" s="154" t="s">
        <v>294</v>
      </c>
      <c r="I64" s="359" t="s">
        <v>384</v>
      </c>
      <c r="J64" s="51"/>
      <c r="K64" s="51"/>
      <c r="L64" s="51"/>
      <c r="M64" s="51"/>
    </row>
    <row r="65" spans="1:13" ht="35.25" customHeight="1" outlineLevel="1">
      <c r="A65" s="382"/>
      <c r="B65" s="377"/>
      <c r="C65" s="152"/>
      <c r="D65" s="340"/>
      <c r="E65" s="155">
        <f>SUBTOTAL(9,E63:E64)</f>
        <v>4910.8099999999995</v>
      </c>
      <c r="F65" s="636" t="s">
        <v>1047</v>
      </c>
      <c r="G65" s="340"/>
      <c r="H65" s="154"/>
      <c r="I65" s="359">
        <f>SUBTOTAL(9,I63:I64)</f>
        <v>0</v>
      </c>
      <c r="J65" s="51"/>
      <c r="K65" s="51"/>
      <c r="L65" s="51"/>
      <c r="M65" s="51"/>
    </row>
    <row r="66" spans="1:13" ht="35.25" customHeight="1" outlineLevel="2">
      <c r="A66" s="382">
        <v>34</v>
      </c>
      <c r="B66" s="377">
        <v>41673</v>
      </c>
      <c r="C66" s="152" t="s">
        <v>446</v>
      </c>
      <c r="D66" s="154" t="s">
        <v>388</v>
      </c>
      <c r="E66" s="370">
        <v>12977</v>
      </c>
      <c r="F66" s="158" t="s">
        <v>147</v>
      </c>
      <c r="G66" s="340" t="s">
        <v>188</v>
      </c>
      <c r="H66" s="154" t="s">
        <v>294</v>
      </c>
      <c r="I66" s="195"/>
      <c r="J66" s="51"/>
      <c r="K66" s="51"/>
      <c r="L66" s="51"/>
      <c r="M66" s="51"/>
    </row>
    <row r="67" spans="1:13" ht="35.25" customHeight="1" outlineLevel="2">
      <c r="A67" s="382">
        <v>56</v>
      </c>
      <c r="B67" s="377">
        <v>41708</v>
      </c>
      <c r="C67" s="152" t="s">
        <v>461</v>
      </c>
      <c r="D67" s="340" t="s">
        <v>373</v>
      </c>
      <c r="E67" s="375">
        <v>0.63</v>
      </c>
      <c r="F67" s="158" t="s">
        <v>147</v>
      </c>
      <c r="G67" s="159" t="s">
        <v>188</v>
      </c>
      <c r="H67" s="154" t="s">
        <v>294</v>
      </c>
      <c r="I67" s="359" t="s">
        <v>366</v>
      </c>
      <c r="J67" s="51"/>
      <c r="K67" s="51"/>
      <c r="L67" s="51"/>
      <c r="M67" s="51"/>
    </row>
    <row r="68" spans="1:13" ht="35.25" customHeight="1" outlineLevel="2">
      <c r="A68" s="382">
        <v>197</v>
      </c>
      <c r="B68" s="377">
        <v>41807</v>
      </c>
      <c r="C68" s="152" t="s">
        <v>506</v>
      </c>
      <c r="D68" s="154" t="s">
        <v>544</v>
      </c>
      <c r="E68" s="155">
        <v>165.54</v>
      </c>
      <c r="F68" s="158" t="s">
        <v>147</v>
      </c>
      <c r="G68" s="340" t="s">
        <v>188</v>
      </c>
      <c r="H68" s="154" t="s">
        <v>294</v>
      </c>
      <c r="I68" s="359" t="s">
        <v>366</v>
      </c>
      <c r="J68" s="51"/>
      <c r="K68" s="51"/>
      <c r="L68" s="51"/>
      <c r="M68" s="51"/>
    </row>
    <row r="69" spans="1:13" ht="35.25" customHeight="1" outlineLevel="2">
      <c r="A69" s="382">
        <v>210</v>
      </c>
      <c r="B69" s="377">
        <v>41827</v>
      </c>
      <c r="C69" s="152" t="s">
        <v>513</v>
      </c>
      <c r="D69" s="154" t="s">
        <v>544</v>
      </c>
      <c r="E69" s="155">
        <v>75.54</v>
      </c>
      <c r="F69" s="338" t="s">
        <v>147</v>
      </c>
      <c r="G69" s="340" t="s">
        <v>188</v>
      </c>
      <c r="H69" s="154" t="s">
        <v>294</v>
      </c>
      <c r="I69" s="359" t="s">
        <v>366</v>
      </c>
      <c r="J69" s="51"/>
      <c r="K69" s="51"/>
      <c r="L69" s="51"/>
      <c r="M69" s="51"/>
    </row>
    <row r="70" spans="1:13" ht="35.25" customHeight="1" outlineLevel="2">
      <c r="A70" s="382">
        <v>222</v>
      </c>
      <c r="B70" s="377">
        <v>41841</v>
      </c>
      <c r="C70" s="152" t="s">
        <v>516</v>
      </c>
      <c r="D70" s="154" t="s">
        <v>544</v>
      </c>
      <c r="E70" s="155">
        <v>500.54</v>
      </c>
      <c r="F70" s="158" t="s">
        <v>147</v>
      </c>
      <c r="G70" s="340" t="s">
        <v>188</v>
      </c>
      <c r="H70" s="154" t="s">
        <v>294</v>
      </c>
      <c r="I70" s="359" t="s">
        <v>366</v>
      </c>
      <c r="J70" s="51"/>
      <c r="K70" s="51"/>
      <c r="L70" s="51"/>
      <c r="M70" s="51"/>
    </row>
    <row r="71" spans="1:13" ht="35.25" customHeight="1" outlineLevel="1">
      <c r="A71" s="382"/>
      <c r="B71" s="377"/>
      <c r="C71" s="152"/>
      <c r="D71" s="154"/>
      <c r="E71" s="155">
        <f>SUBTOTAL(9,E66:E70)</f>
        <v>13719.250000000002</v>
      </c>
      <c r="F71" s="636" t="s">
        <v>1048</v>
      </c>
      <c r="G71" s="340"/>
      <c r="H71" s="154"/>
      <c r="I71" s="359">
        <f>SUBTOTAL(9,I66:I70)</f>
        <v>0</v>
      </c>
      <c r="J71" s="51"/>
      <c r="K71" s="51"/>
      <c r="L71" s="51"/>
      <c r="M71" s="51"/>
    </row>
    <row r="72" spans="1:13" ht="35.25" customHeight="1" outlineLevel="2">
      <c r="A72" s="382">
        <v>96</v>
      </c>
      <c r="B72" s="377">
        <v>41745</v>
      </c>
      <c r="C72" s="152" t="s">
        <v>662</v>
      </c>
      <c r="D72" s="154" t="s">
        <v>296</v>
      </c>
      <c r="E72" s="155">
        <v>57.42</v>
      </c>
      <c r="F72" s="154" t="s">
        <v>152</v>
      </c>
      <c r="G72" s="154" t="s">
        <v>150</v>
      </c>
      <c r="H72" s="154" t="s">
        <v>294</v>
      </c>
      <c r="I72" s="195" t="s">
        <v>366</v>
      </c>
      <c r="J72" s="51"/>
      <c r="K72" s="51"/>
      <c r="L72" s="51"/>
      <c r="M72" s="51"/>
    </row>
    <row r="73" spans="1:13" ht="35.25" customHeight="1" outlineLevel="1">
      <c r="A73" s="382"/>
      <c r="B73" s="377"/>
      <c r="C73" s="152"/>
      <c r="D73" s="154"/>
      <c r="E73" s="155">
        <f>SUBTOTAL(9,E72:E72)</f>
        <v>57.42</v>
      </c>
      <c r="F73" s="638" t="s">
        <v>1049</v>
      </c>
      <c r="G73" s="154"/>
      <c r="H73" s="154"/>
      <c r="I73" s="195">
        <f>SUBTOTAL(9,I72:I72)</f>
        <v>0</v>
      </c>
      <c r="J73" s="51"/>
      <c r="K73" s="51"/>
      <c r="L73" s="51"/>
      <c r="M73" s="51"/>
    </row>
    <row r="74" spans="1:13" ht="35.25" customHeight="1" outlineLevel="2">
      <c r="A74" s="382">
        <v>5</v>
      </c>
      <c r="B74" s="377">
        <v>41647</v>
      </c>
      <c r="C74" s="152" t="s">
        <v>429</v>
      </c>
      <c r="D74" s="340" t="s">
        <v>368</v>
      </c>
      <c r="E74" s="370">
        <v>2521.61</v>
      </c>
      <c r="F74" s="158" t="s">
        <v>207</v>
      </c>
      <c r="G74" s="340" t="s">
        <v>208</v>
      </c>
      <c r="H74" s="154" t="s">
        <v>294</v>
      </c>
      <c r="I74" s="359" t="s">
        <v>358</v>
      </c>
      <c r="J74" s="51"/>
      <c r="K74" s="51"/>
      <c r="L74" s="51"/>
      <c r="M74" s="51"/>
    </row>
    <row r="75" spans="1:13" ht="35.25" customHeight="1" outlineLevel="2">
      <c r="A75" s="382">
        <v>17</v>
      </c>
      <c r="B75" s="377">
        <v>41652</v>
      </c>
      <c r="C75" s="152" t="s">
        <v>435</v>
      </c>
      <c r="D75" s="340" t="s">
        <v>367</v>
      </c>
      <c r="E75" s="370">
        <v>2928</v>
      </c>
      <c r="F75" s="158" t="s">
        <v>207</v>
      </c>
      <c r="G75" s="340" t="s">
        <v>208</v>
      </c>
      <c r="H75" s="154" t="s">
        <v>294</v>
      </c>
      <c r="I75" s="359" t="s">
        <v>360</v>
      </c>
      <c r="J75" s="51"/>
      <c r="K75" s="51"/>
      <c r="L75" s="51"/>
      <c r="M75" s="51"/>
    </row>
    <row r="76" spans="1:13" ht="35.25" customHeight="1" outlineLevel="2">
      <c r="A76" s="382">
        <v>18</v>
      </c>
      <c r="B76" s="377">
        <v>41652</v>
      </c>
      <c r="C76" s="152" t="s">
        <v>436</v>
      </c>
      <c r="D76" s="340" t="s">
        <v>340</v>
      </c>
      <c r="E76" s="370">
        <v>3660</v>
      </c>
      <c r="F76" s="158" t="s">
        <v>207</v>
      </c>
      <c r="G76" s="340" t="s">
        <v>208</v>
      </c>
      <c r="H76" s="154" t="s">
        <v>294</v>
      </c>
      <c r="I76" s="359" t="s">
        <v>358</v>
      </c>
      <c r="J76" s="51"/>
      <c r="K76" s="51"/>
      <c r="L76" s="51"/>
      <c r="M76" s="51"/>
    </row>
    <row r="77" spans="1:13" ht="35.25" customHeight="1" outlineLevel="2">
      <c r="A77" s="382">
        <v>19</v>
      </c>
      <c r="B77" s="377">
        <v>41652</v>
      </c>
      <c r="C77" s="152" t="s">
        <v>437</v>
      </c>
      <c r="D77" s="340" t="s">
        <v>367</v>
      </c>
      <c r="E77" s="370">
        <v>522.28</v>
      </c>
      <c r="F77" s="158" t="s">
        <v>207</v>
      </c>
      <c r="G77" s="340" t="s">
        <v>208</v>
      </c>
      <c r="H77" s="154" t="s">
        <v>294</v>
      </c>
      <c r="I77" s="359" t="s">
        <v>359</v>
      </c>
      <c r="J77" s="51"/>
      <c r="K77" s="51"/>
      <c r="L77" s="51"/>
      <c r="M77" s="51"/>
    </row>
    <row r="78" spans="1:13" ht="35.25" customHeight="1" outlineLevel="2">
      <c r="A78" s="382">
        <v>20</v>
      </c>
      <c r="B78" s="377">
        <v>41654</v>
      </c>
      <c r="C78" s="152" t="s">
        <v>438</v>
      </c>
      <c r="D78" s="340" t="s">
        <v>371</v>
      </c>
      <c r="E78" s="370">
        <v>872.07</v>
      </c>
      <c r="F78" s="158" t="s">
        <v>207</v>
      </c>
      <c r="G78" s="340" t="s">
        <v>208</v>
      </c>
      <c r="H78" s="154" t="s">
        <v>294</v>
      </c>
      <c r="I78" s="359" t="s">
        <v>357</v>
      </c>
      <c r="J78" s="51"/>
      <c r="K78" s="51"/>
      <c r="L78" s="51"/>
      <c r="M78" s="51"/>
    </row>
    <row r="79" spans="1:13" ht="35.25" customHeight="1" outlineLevel="2">
      <c r="A79" s="382">
        <v>43</v>
      </c>
      <c r="B79" s="377">
        <v>41690</v>
      </c>
      <c r="C79" s="152" t="s">
        <v>454</v>
      </c>
      <c r="D79" s="340" t="s">
        <v>373</v>
      </c>
      <c r="E79" s="370">
        <v>586.96</v>
      </c>
      <c r="F79" s="158" t="s">
        <v>207</v>
      </c>
      <c r="G79" s="340" t="s">
        <v>208</v>
      </c>
      <c r="H79" s="154" t="s">
        <v>294</v>
      </c>
      <c r="I79" s="359" t="s">
        <v>357</v>
      </c>
      <c r="J79" s="51"/>
      <c r="K79" s="51"/>
      <c r="L79" s="51"/>
      <c r="M79" s="51"/>
    </row>
    <row r="80" spans="1:13" ht="35.25" customHeight="1" outlineLevel="2">
      <c r="A80" s="382">
        <v>44</v>
      </c>
      <c r="B80" s="377">
        <v>41690</v>
      </c>
      <c r="C80" s="152" t="s">
        <v>455</v>
      </c>
      <c r="D80" s="340" t="s">
        <v>373</v>
      </c>
      <c r="E80" s="370">
        <v>473.38</v>
      </c>
      <c r="F80" s="158" t="s">
        <v>207</v>
      </c>
      <c r="G80" s="340" t="s">
        <v>208</v>
      </c>
      <c r="H80" s="154" t="s">
        <v>294</v>
      </c>
      <c r="I80" s="359" t="s">
        <v>357</v>
      </c>
      <c r="J80" s="51"/>
      <c r="K80" s="51"/>
      <c r="L80" s="51"/>
      <c r="M80" s="51"/>
    </row>
    <row r="81" spans="1:13" ht="35.25" customHeight="1" outlineLevel="2">
      <c r="A81" s="382">
        <v>48</v>
      </c>
      <c r="B81" s="377">
        <v>41691</v>
      </c>
      <c r="C81" s="152" t="s">
        <v>457</v>
      </c>
      <c r="D81" s="340" t="s">
        <v>373</v>
      </c>
      <c r="E81" s="370">
        <v>57.96</v>
      </c>
      <c r="F81" s="158" t="s">
        <v>207</v>
      </c>
      <c r="G81" s="340" t="s">
        <v>208</v>
      </c>
      <c r="H81" s="154" t="s">
        <v>294</v>
      </c>
      <c r="I81" s="359" t="s">
        <v>360</v>
      </c>
      <c r="J81" s="51"/>
      <c r="K81" s="51"/>
      <c r="L81" s="51"/>
      <c r="M81" s="51"/>
    </row>
    <row r="82" spans="1:13" ht="35.25" customHeight="1" outlineLevel="2">
      <c r="A82" s="382">
        <v>49</v>
      </c>
      <c r="B82" s="377">
        <v>41691</v>
      </c>
      <c r="C82" s="152" t="s">
        <v>458</v>
      </c>
      <c r="D82" s="340" t="s">
        <v>373</v>
      </c>
      <c r="E82" s="370">
        <v>803.85</v>
      </c>
      <c r="F82" s="158" t="s">
        <v>207</v>
      </c>
      <c r="G82" s="340" t="s">
        <v>208</v>
      </c>
      <c r="H82" s="154" t="s">
        <v>294</v>
      </c>
      <c r="I82" s="359" t="s">
        <v>357</v>
      </c>
      <c r="J82" s="51"/>
      <c r="K82" s="51"/>
      <c r="L82" s="51"/>
      <c r="M82" s="51"/>
    </row>
    <row r="83" spans="1:13" ht="35.25" customHeight="1" outlineLevel="2">
      <c r="A83" s="382">
        <v>52</v>
      </c>
      <c r="B83" s="377">
        <v>41708</v>
      </c>
      <c r="C83" s="152" t="s">
        <v>461</v>
      </c>
      <c r="D83" s="340" t="s">
        <v>373</v>
      </c>
      <c r="E83" s="375">
        <v>46</v>
      </c>
      <c r="F83" s="158" t="s">
        <v>207</v>
      </c>
      <c r="G83" s="340" t="s">
        <v>208</v>
      </c>
      <c r="H83" s="154" t="s">
        <v>294</v>
      </c>
      <c r="I83" s="359" t="s">
        <v>359</v>
      </c>
      <c r="J83" s="51"/>
      <c r="K83" s="51"/>
      <c r="L83" s="51"/>
      <c r="M83" s="51"/>
    </row>
    <row r="84" spans="1:13" ht="35.25" customHeight="1" outlineLevel="2">
      <c r="A84" s="382">
        <v>53</v>
      </c>
      <c r="B84" s="377">
        <v>41708</v>
      </c>
      <c r="C84" s="152" t="s">
        <v>461</v>
      </c>
      <c r="D84" s="340" t="s">
        <v>373</v>
      </c>
      <c r="E84" s="375">
        <v>297.5</v>
      </c>
      <c r="F84" s="158" t="s">
        <v>207</v>
      </c>
      <c r="G84" s="340" t="s">
        <v>208</v>
      </c>
      <c r="H84" s="154" t="s">
        <v>294</v>
      </c>
      <c r="I84" s="359" t="s">
        <v>359</v>
      </c>
      <c r="J84" s="51"/>
      <c r="K84" s="51"/>
      <c r="L84" s="51"/>
      <c r="M84" s="51"/>
    </row>
    <row r="85" spans="1:13" ht="35.25" customHeight="1" outlineLevel="2">
      <c r="A85" s="382">
        <v>54</v>
      </c>
      <c r="B85" s="377">
        <v>41708</v>
      </c>
      <c r="C85" s="152" t="s">
        <v>461</v>
      </c>
      <c r="D85" s="340" t="s">
        <v>373</v>
      </c>
      <c r="E85" s="375">
        <v>306.07</v>
      </c>
      <c r="F85" s="158" t="s">
        <v>207</v>
      </c>
      <c r="G85" s="340" t="s">
        <v>208</v>
      </c>
      <c r="H85" s="154" t="s">
        <v>294</v>
      </c>
      <c r="I85" s="359" t="s">
        <v>356</v>
      </c>
      <c r="J85" s="51"/>
      <c r="K85" s="51"/>
      <c r="L85" s="51"/>
      <c r="M85" s="51"/>
    </row>
    <row r="86" spans="1:13" ht="35.25" customHeight="1" outlineLevel="2">
      <c r="A86" s="382">
        <v>69</v>
      </c>
      <c r="B86" s="377">
        <v>41722</v>
      </c>
      <c r="C86" s="152" t="s">
        <v>472</v>
      </c>
      <c r="D86" s="340" t="s">
        <v>372</v>
      </c>
      <c r="E86" s="370">
        <v>2</v>
      </c>
      <c r="F86" s="158" t="s">
        <v>207</v>
      </c>
      <c r="G86" s="340" t="s">
        <v>208</v>
      </c>
      <c r="H86" s="154" t="s">
        <v>294</v>
      </c>
      <c r="I86" s="359" t="s">
        <v>358</v>
      </c>
      <c r="J86" s="51"/>
      <c r="K86" s="51"/>
      <c r="L86" s="51"/>
      <c r="M86" s="51"/>
    </row>
    <row r="87" spans="1:13" ht="35.25" customHeight="1" outlineLevel="2">
      <c r="A87" s="382">
        <v>70</v>
      </c>
      <c r="B87" s="377">
        <v>41722</v>
      </c>
      <c r="C87" s="152" t="s">
        <v>473</v>
      </c>
      <c r="D87" s="340" t="s">
        <v>373</v>
      </c>
      <c r="E87" s="370">
        <v>366.85</v>
      </c>
      <c r="F87" s="158" t="s">
        <v>207</v>
      </c>
      <c r="G87" s="340" t="s">
        <v>208</v>
      </c>
      <c r="H87" s="154" t="s">
        <v>294</v>
      </c>
      <c r="I87" s="359" t="s">
        <v>359</v>
      </c>
      <c r="J87" s="51"/>
      <c r="K87" s="51"/>
      <c r="L87" s="51"/>
      <c r="M87" s="51"/>
    </row>
    <row r="88" spans="1:13" ht="35.25" customHeight="1" outlineLevel="2">
      <c r="A88" s="382">
        <v>94</v>
      </c>
      <c r="B88" s="377">
        <v>41736</v>
      </c>
      <c r="C88" s="152" t="s">
        <v>487</v>
      </c>
      <c r="D88" s="340" t="s">
        <v>488</v>
      </c>
      <c r="E88" s="155">
        <v>22838.4</v>
      </c>
      <c r="F88" s="158" t="s">
        <v>207</v>
      </c>
      <c r="G88" s="340" t="s">
        <v>208</v>
      </c>
      <c r="H88" s="154" t="s">
        <v>294</v>
      </c>
      <c r="I88" s="359" t="s">
        <v>489</v>
      </c>
      <c r="J88" s="51"/>
      <c r="K88" s="51"/>
      <c r="L88" s="51"/>
      <c r="M88" s="51"/>
    </row>
    <row r="89" spans="1:13" ht="35.25" customHeight="1" outlineLevel="2">
      <c r="A89" s="382">
        <v>110</v>
      </c>
      <c r="B89" s="377">
        <v>41764</v>
      </c>
      <c r="C89" s="152" t="s">
        <v>491</v>
      </c>
      <c r="D89" s="340" t="s">
        <v>492</v>
      </c>
      <c r="E89" s="155">
        <v>1952</v>
      </c>
      <c r="F89" s="158" t="s">
        <v>207</v>
      </c>
      <c r="G89" s="340" t="s">
        <v>208</v>
      </c>
      <c r="H89" s="154" t="s">
        <v>294</v>
      </c>
      <c r="I89" s="359" t="s">
        <v>313</v>
      </c>
      <c r="J89" s="51"/>
      <c r="K89" s="51"/>
      <c r="L89" s="51"/>
      <c r="M89" s="51"/>
    </row>
    <row r="90" spans="1:13" ht="35.25" customHeight="1" outlineLevel="2">
      <c r="A90" s="382">
        <v>119</v>
      </c>
      <c r="B90" s="377">
        <v>41766</v>
      </c>
      <c r="C90" s="364" t="s">
        <v>553</v>
      </c>
      <c r="D90" s="340" t="s">
        <v>551</v>
      </c>
      <c r="E90" s="155">
        <v>43.7</v>
      </c>
      <c r="F90" s="158" t="s">
        <v>207</v>
      </c>
      <c r="G90" s="340" t="s">
        <v>208</v>
      </c>
      <c r="H90" s="154" t="s">
        <v>294</v>
      </c>
      <c r="I90" s="359" t="s">
        <v>357</v>
      </c>
      <c r="J90" s="51"/>
      <c r="K90" s="51"/>
      <c r="L90" s="51"/>
      <c r="M90" s="51"/>
    </row>
    <row r="91" spans="1:13" ht="35.25" customHeight="1" outlineLevel="2">
      <c r="A91" s="382">
        <v>149</v>
      </c>
      <c r="B91" s="377">
        <v>41767</v>
      </c>
      <c r="C91" s="152" t="s">
        <v>496</v>
      </c>
      <c r="D91" s="340" t="s">
        <v>497</v>
      </c>
      <c r="E91" s="155">
        <v>2800</v>
      </c>
      <c r="F91" s="158" t="s">
        <v>207</v>
      </c>
      <c r="G91" s="340" t="s">
        <v>208</v>
      </c>
      <c r="H91" s="154" t="s">
        <v>294</v>
      </c>
      <c r="I91" s="359" t="s">
        <v>360</v>
      </c>
      <c r="J91" s="51"/>
      <c r="K91" s="51"/>
      <c r="L91" s="51"/>
      <c r="M91" s="51"/>
    </row>
    <row r="92" spans="1:13" ht="35.25" customHeight="1" outlineLevel="2">
      <c r="A92" s="382">
        <v>190</v>
      </c>
      <c r="B92" s="377">
        <v>41793</v>
      </c>
      <c r="C92" s="152" t="s">
        <v>505</v>
      </c>
      <c r="D92" s="340" t="s">
        <v>369</v>
      </c>
      <c r="E92" s="155">
        <v>42.7</v>
      </c>
      <c r="F92" s="158" t="s">
        <v>207</v>
      </c>
      <c r="G92" s="340" t="s">
        <v>208</v>
      </c>
      <c r="H92" s="154" t="s">
        <v>294</v>
      </c>
      <c r="I92" s="359" t="s">
        <v>360</v>
      </c>
      <c r="J92" s="51"/>
      <c r="K92" s="51"/>
      <c r="L92" s="51"/>
      <c r="M92" s="51"/>
    </row>
    <row r="93" spans="1:13" ht="35.25" customHeight="1" outlineLevel="2">
      <c r="A93" s="382">
        <v>198</v>
      </c>
      <c r="B93" s="377">
        <v>41820</v>
      </c>
      <c r="C93" s="152" t="s">
        <v>507</v>
      </c>
      <c r="D93" s="340" t="s">
        <v>373</v>
      </c>
      <c r="E93" s="155">
        <v>404.25</v>
      </c>
      <c r="F93" s="158" t="s">
        <v>207</v>
      </c>
      <c r="G93" s="340" t="s">
        <v>208</v>
      </c>
      <c r="H93" s="154" t="s">
        <v>294</v>
      </c>
      <c r="I93" s="359" t="s">
        <v>359</v>
      </c>
      <c r="J93" s="51"/>
      <c r="K93" s="51"/>
      <c r="L93" s="51"/>
      <c r="M93" s="51"/>
    </row>
    <row r="94" spans="1:13" ht="35.25" customHeight="1" outlineLevel="2">
      <c r="A94" s="382">
        <v>199</v>
      </c>
      <c r="B94" s="377">
        <v>41820</v>
      </c>
      <c r="C94" s="152" t="s">
        <v>508</v>
      </c>
      <c r="D94" s="340" t="s">
        <v>373</v>
      </c>
      <c r="E94" s="155">
        <v>66.3</v>
      </c>
      <c r="F94" s="158" t="s">
        <v>207</v>
      </c>
      <c r="G94" s="340" t="s">
        <v>208</v>
      </c>
      <c r="H94" s="154" t="s">
        <v>294</v>
      </c>
      <c r="I94" s="359" t="s">
        <v>366</v>
      </c>
      <c r="J94" s="51"/>
      <c r="K94" s="51"/>
      <c r="L94" s="51"/>
      <c r="M94" s="51"/>
    </row>
    <row r="95" spans="1:13" ht="35.25" customHeight="1" outlineLevel="2">
      <c r="A95" s="382">
        <v>200</v>
      </c>
      <c r="B95" s="377">
        <v>41820</v>
      </c>
      <c r="C95" s="152" t="s">
        <v>509</v>
      </c>
      <c r="D95" s="340" t="s">
        <v>373</v>
      </c>
      <c r="E95" s="155">
        <v>54</v>
      </c>
      <c r="F95" s="158" t="s">
        <v>207</v>
      </c>
      <c r="G95" s="340" t="s">
        <v>208</v>
      </c>
      <c r="H95" s="154" t="s">
        <v>294</v>
      </c>
      <c r="I95" s="359" t="s">
        <v>359</v>
      </c>
      <c r="J95" s="51"/>
      <c r="K95" s="51"/>
      <c r="L95" s="51"/>
      <c r="M95" s="51"/>
    </row>
    <row r="96" spans="1:13" ht="35.25" customHeight="1" outlineLevel="2">
      <c r="A96" s="382">
        <v>208</v>
      </c>
      <c r="B96" s="377">
        <v>41827</v>
      </c>
      <c r="C96" s="152" t="s">
        <v>514</v>
      </c>
      <c r="D96" s="340" t="s">
        <v>377</v>
      </c>
      <c r="E96" s="155">
        <v>78</v>
      </c>
      <c r="F96" s="158" t="s">
        <v>207</v>
      </c>
      <c r="G96" s="340" t="s">
        <v>208</v>
      </c>
      <c r="H96" s="154" t="s">
        <v>294</v>
      </c>
      <c r="I96" s="359" t="s">
        <v>385</v>
      </c>
      <c r="J96" s="51"/>
      <c r="K96" s="51"/>
      <c r="L96" s="51"/>
      <c r="M96" s="51"/>
    </row>
    <row r="97" spans="1:13" ht="35.25" customHeight="1" outlineLevel="2">
      <c r="A97" s="382">
        <v>209</v>
      </c>
      <c r="B97" s="377">
        <v>41827</v>
      </c>
      <c r="C97" s="152" t="s">
        <v>515</v>
      </c>
      <c r="D97" s="340" t="s">
        <v>373</v>
      </c>
      <c r="E97" s="155">
        <v>90.8</v>
      </c>
      <c r="F97" s="158" t="s">
        <v>207</v>
      </c>
      <c r="G97" s="340" t="s">
        <v>208</v>
      </c>
      <c r="H97" s="154" t="s">
        <v>294</v>
      </c>
      <c r="I97" s="359" t="s">
        <v>385</v>
      </c>
      <c r="J97" s="51"/>
      <c r="K97" s="51"/>
      <c r="L97" s="51"/>
      <c r="M97" s="51"/>
    </row>
    <row r="98" spans="1:13" ht="35.25" customHeight="1" outlineLevel="2">
      <c r="A98" s="382">
        <v>227</v>
      </c>
      <c r="B98" s="377">
        <v>41883</v>
      </c>
      <c r="C98" s="152" t="s">
        <v>521</v>
      </c>
      <c r="D98" s="340" t="s">
        <v>373</v>
      </c>
      <c r="E98" s="155">
        <v>58.7</v>
      </c>
      <c r="F98" s="158" t="s">
        <v>207</v>
      </c>
      <c r="G98" s="340" t="s">
        <v>208</v>
      </c>
      <c r="H98" s="154" t="s">
        <v>294</v>
      </c>
      <c r="I98" s="359" t="s">
        <v>385</v>
      </c>
      <c r="J98" s="51"/>
      <c r="K98" s="51"/>
      <c r="L98" s="51"/>
      <c r="M98" s="51"/>
    </row>
    <row r="99" spans="1:13" ht="35.25" customHeight="1" outlineLevel="2">
      <c r="A99" s="382">
        <v>228</v>
      </c>
      <c r="B99" s="377">
        <v>41883</v>
      </c>
      <c r="C99" s="152" t="s">
        <v>523</v>
      </c>
      <c r="D99" s="340" t="s">
        <v>373</v>
      </c>
      <c r="E99" s="155">
        <v>64.83</v>
      </c>
      <c r="F99" s="158" t="s">
        <v>207</v>
      </c>
      <c r="G99" s="340" t="s">
        <v>208</v>
      </c>
      <c r="H99" s="154" t="s">
        <v>294</v>
      </c>
      <c r="I99" s="359" t="s">
        <v>360</v>
      </c>
      <c r="J99" s="51"/>
      <c r="K99" s="51"/>
      <c r="L99" s="51"/>
      <c r="M99" s="51"/>
    </row>
    <row r="100" spans="1:13" ht="35.25" customHeight="1" outlineLevel="2" thickBot="1">
      <c r="A100" s="382">
        <v>229</v>
      </c>
      <c r="B100" s="377">
        <v>41883</v>
      </c>
      <c r="C100" s="152" t="s">
        <v>524</v>
      </c>
      <c r="D100" s="340" t="s">
        <v>373</v>
      </c>
      <c r="E100" s="155">
        <v>56.8</v>
      </c>
      <c r="F100" s="158" t="s">
        <v>207</v>
      </c>
      <c r="G100" s="340" t="s">
        <v>208</v>
      </c>
      <c r="H100" s="154" t="s">
        <v>294</v>
      </c>
      <c r="I100" s="359" t="s">
        <v>356</v>
      </c>
      <c r="J100" s="51"/>
      <c r="K100" s="51"/>
      <c r="L100" s="51"/>
      <c r="M100" s="51"/>
    </row>
    <row r="101" spans="1:13" ht="35.25" customHeight="1" outlineLevel="2" thickTop="1">
      <c r="A101" s="382">
        <v>230</v>
      </c>
      <c r="B101" s="377">
        <v>41883</v>
      </c>
      <c r="C101" s="152" t="s">
        <v>525</v>
      </c>
      <c r="D101" s="340" t="s">
        <v>373</v>
      </c>
      <c r="E101" s="155">
        <v>114.12</v>
      </c>
      <c r="F101" s="355" t="s">
        <v>207</v>
      </c>
      <c r="G101" s="354" t="s">
        <v>208</v>
      </c>
      <c r="H101" s="154" t="s">
        <v>294</v>
      </c>
      <c r="I101" s="359" t="s">
        <v>356</v>
      </c>
      <c r="J101" s="51"/>
      <c r="K101" s="51"/>
      <c r="L101" s="51"/>
      <c r="M101" s="51"/>
    </row>
    <row r="102" spans="1:13" ht="35.25" customHeight="1" outlineLevel="2">
      <c r="A102" s="382">
        <v>231</v>
      </c>
      <c r="B102" s="377">
        <v>41883</v>
      </c>
      <c r="C102" s="152" t="s">
        <v>526</v>
      </c>
      <c r="D102" s="340" t="s">
        <v>373</v>
      </c>
      <c r="E102" s="155">
        <v>76.89</v>
      </c>
      <c r="F102" s="158" t="s">
        <v>207</v>
      </c>
      <c r="G102" s="340" t="s">
        <v>208</v>
      </c>
      <c r="H102" s="154" t="s">
        <v>294</v>
      </c>
      <c r="I102" s="359" t="s">
        <v>356</v>
      </c>
      <c r="J102" s="51"/>
      <c r="K102" s="51"/>
      <c r="L102" s="51"/>
      <c r="M102" s="51"/>
    </row>
    <row r="103" spans="1:13" ht="35.25" customHeight="1" outlineLevel="2">
      <c r="A103" s="382">
        <v>232</v>
      </c>
      <c r="B103" s="377">
        <v>41883</v>
      </c>
      <c r="C103" s="152" t="s">
        <v>527</v>
      </c>
      <c r="D103" s="340" t="s">
        <v>375</v>
      </c>
      <c r="E103" s="155">
        <v>670.04</v>
      </c>
      <c r="F103" s="158" t="s">
        <v>207</v>
      </c>
      <c r="G103" s="340" t="s">
        <v>208</v>
      </c>
      <c r="H103" s="154" t="s">
        <v>294</v>
      </c>
      <c r="I103" s="359" t="s">
        <v>313</v>
      </c>
      <c r="J103" s="51"/>
      <c r="K103" s="51"/>
      <c r="L103" s="51"/>
      <c r="M103" s="51"/>
    </row>
    <row r="104" spans="1:13" ht="35.25" customHeight="1" outlineLevel="2">
      <c r="A104" s="382">
        <v>233</v>
      </c>
      <c r="B104" s="377">
        <v>41883</v>
      </c>
      <c r="C104" s="152" t="s">
        <v>528</v>
      </c>
      <c r="D104" s="340" t="s">
        <v>529</v>
      </c>
      <c r="E104" s="155">
        <v>1870.97</v>
      </c>
      <c r="F104" s="158" t="s">
        <v>207</v>
      </c>
      <c r="G104" s="340" t="s">
        <v>208</v>
      </c>
      <c r="H104" s="154" t="s">
        <v>294</v>
      </c>
      <c r="I104" s="359" t="s">
        <v>313</v>
      </c>
      <c r="J104" s="51"/>
      <c r="K104" s="51"/>
      <c r="L104" s="51"/>
      <c r="M104" s="51"/>
    </row>
    <row r="105" spans="1:13" ht="35.25" customHeight="1" outlineLevel="2">
      <c r="A105" s="382">
        <v>267</v>
      </c>
      <c r="B105" s="377">
        <v>41899</v>
      </c>
      <c r="C105" s="152" t="s">
        <v>533</v>
      </c>
      <c r="D105" s="340" t="s">
        <v>373</v>
      </c>
      <c r="E105" s="155">
        <v>247.88</v>
      </c>
      <c r="F105" s="158" t="s">
        <v>207</v>
      </c>
      <c r="G105" s="340" t="s">
        <v>208</v>
      </c>
      <c r="H105" s="154" t="s">
        <v>294</v>
      </c>
      <c r="I105" s="359" t="s">
        <v>356</v>
      </c>
      <c r="J105" s="51"/>
      <c r="K105" s="51"/>
      <c r="L105" s="51"/>
      <c r="M105" s="51"/>
    </row>
    <row r="106" spans="1:13" ht="35.25" customHeight="1" outlineLevel="2">
      <c r="A106" s="382">
        <v>268</v>
      </c>
      <c r="B106" s="377">
        <v>41899</v>
      </c>
      <c r="C106" s="152" t="s">
        <v>541</v>
      </c>
      <c r="D106" s="340" t="s">
        <v>388</v>
      </c>
      <c r="E106" s="155">
        <v>59</v>
      </c>
      <c r="F106" s="158" t="s">
        <v>207</v>
      </c>
      <c r="G106" s="340" t="s">
        <v>208</v>
      </c>
      <c r="H106" s="154" t="s">
        <v>294</v>
      </c>
      <c r="I106" s="359" t="s">
        <v>385</v>
      </c>
      <c r="J106" s="51"/>
      <c r="K106" s="51"/>
      <c r="L106" s="51"/>
      <c r="M106" s="51"/>
    </row>
    <row r="107" spans="1:13" ht="35.25" customHeight="1" outlineLevel="2">
      <c r="A107" s="382">
        <v>283</v>
      </c>
      <c r="B107" s="377">
        <v>41922</v>
      </c>
      <c r="C107" s="152" t="s">
        <v>987</v>
      </c>
      <c r="D107" s="340" t="s">
        <v>388</v>
      </c>
      <c r="E107" s="155">
        <v>803.15</v>
      </c>
      <c r="F107" s="158" t="s">
        <v>207</v>
      </c>
      <c r="G107" s="340" t="s">
        <v>208</v>
      </c>
      <c r="H107" s="154" t="s">
        <v>294</v>
      </c>
      <c r="I107" s="359" t="s">
        <v>715</v>
      </c>
      <c r="J107" s="51"/>
      <c r="K107" s="51"/>
      <c r="L107" s="51"/>
      <c r="M107" s="51"/>
    </row>
    <row r="108" spans="1:13" ht="35.25" customHeight="1" outlineLevel="2">
      <c r="A108" s="382">
        <v>284</v>
      </c>
      <c r="B108" s="377">
        <v>41922</v>
      </c>
      <c r="C108" s="152" t="s">
        <v>988</v>
      </c>
      <c r="D108" s="340" t="s">
        <v>388</v>
      </c>
      <c r="E108" s="155">
        <v>698.41</v>
      </c>
      <c r="F108" s="158" t="s">
        <v>207</v>
      </c>
      <c r="G108" s="340" t="s">
        <v>208</v>
      </c>
      <c r="H108" s="154" t="s">
        <v>294</v>
      </c>
      <c r="I108" s="359" t="s">
        <v>715</v>
      </c>
      <c r="J108" s="51"/>
      <c r="K108" s="51"/>
      <c r="L108" s="51"/>
      <c r="M108" s="51"/>
    </row>
    <row r="109" spans="1:13" ht="35.25" customHeight="1" outlineLevel="2">
      <c r="A109" s="382">
        <v>288</v>
      </c>
      <c r="B109" s="377">
        <v>41934</v>
      </c>
      <c r="C109" s="152" t="s">
        <v>936</v>
      </c>
      <c r="D109" s="340" t="s">
        <v>367</v>
      </c>
      <c r="E109" s="155">
        <v>4270</v>
      </c>
      <c r="F109" s="158" t="s">
        <v>207</v>
      </c>
      <c r="G109" s="340" t="s">
        <v>208</v>
      </c>
      <c r="H109" s="154" t="s">
        <v>294</v>
      </c>
      <c r="I109" s="359" t="s">
        <v>385</v>
      </c>
      <c r="J109" s="51"/>
      <c r="K109" s="51"/>
      <c r="L109" s="51"/>
      <c r="M109" s="51"/>
    </row>
    <row r="110" spans="1:13" ht="35.25" customHeight="1" outlineLevel="2">
      <c r="A110" s="382">
        <v>289</v>
      </c>
      <c r="B110" s="377">
        <v>41934</v>
      </c>
      <c r="C110" s="152" t="s">
        <v>937</v>
      </c>
      <c r="D110" s="340" t="s">
        <v>367</v>
      </c>
      <c r="E110" s="155">
        <v>6710</v>
      </c>
      <c r="F110" s="158" t="s">
        <v>207</v>
      </c>
      <c r="G110" s="340" t="s">
        <v>208</v>
      </c>
      <c r="H110" s="154" t="s">
        <v>294</v>
      </c>
      <c r="I110" s="359" t="s">
        <v>385</v>
      </c>
      <c r="J110" s="51"/>
      <c r="K110" s="51"/>
      <c r="L110" s="51"/>
      <c r="M110" s="51"/>
    </row>
    <row r="111" spans="1:13" ht="35.25" customHeight="1" outlineLevel="2">
      <c r="A111" s="382">
        <v>298</v>
      </c>
      <c r="B111" s="377">
        <v>41946</v>
      </c>
      <c r="C111" s="152" t="s">
        <v>940</v>
      </c>
      <c r="D111" s="340" t="s">
        <v>388</v>
      </c>
      <c r="E111" s="155">
        <v>104</v>
      </c>
      <c r="F111" s="158" t="s">
        <v>207</v>
      </c>
      <c r="G111" s="340" t="s">
        <v>208</v>
      </c>
      <c r="H111" s="154" t="s">
        <v>294</v>
      </c>
      <c r="I111" s="359" t="s">
        <v>385</v>
      </c>
      <c r="J111" s="51"/>
      <c r="K111" s="51"/>
      <c r="L111" s="51"/>
      <c r="M111" s="51"/>
    </row>
    <row r="112" spans="1:13" ht="35.25" customHeight="1" outlineLevel="2">
      <c r="A112" s="382">
        <v>299</v>
      </c>
      <c r="B112" s="377">
        <v>41946</v>
      </c>
      <c r="C112" s="152" t="s">
        <v>941</v>
      </c>
      <c r="D112" s="340" t="s">
        <v>388</v>
      </c>
      <c r="E112" s="155">
        <v>67.9</v>
      </c>
      <c r="F112" s="158" t="s">
        <v>207</v>
      </c>
      <c r="G112" s="340" t="s">
        <v>208</v>
      </c>
      <c r="H112" s="154" t="s">
        <v>294</v>
      </c>
      <c r="I112" s="359" t="s">
        <v>385</v>
      </c>
      <c r="J112" s="51"/>
      <c r="K112" s="51"/>
      <c r="L112" s="51"/>
      <c r="M112" s="51"/>
    </row>
    <row r="113" spans="1:13" ht="35.25" customHeight="1" outlineLevel="2">
      <c r="A113" s="382">
        <v>300</v>
      </c>
      <c r="B113" s="377">
        <v>41946</v>
      </c>
      <c r="C113" s="152" t="s">
        <v>942</v>
      </c>
      <c r="D113" s="340" t="s">
        <v>388</v>
      </c>
      <c r="E113" s="155">
        <v>250</v>
      </c>
      <c r="F113" s="158" t="s">
        <v>207</v>
      </c>
      <c r="G113" s="340" t="s">
        <v>208</v>
      </c>
      <c r="H113" s="154" t="s">
        <v>294</v>
      </c>
      <c r="I113" s="359" t="s">
        <v>989</v>
      </c>
      <c r="J113" s="51"/>
      <c r="K113" s="51"/>
      <c r="L113" s="51"/>
      <c r="M113" s="51"/>
    </row>
    <row r="114" spans="1:13" ht="35.25" customHeight="1" outlineLevel="2">
      <c r="A114" s="382">
        <v>305</v>
      </c>
      <c r="B114" s="377">
        <v>41967</v>
      </c>
      <c r="C114" s="152" t="s">
        <v>945</v>
      </c>
      <c r="D114" s="340" t="s">
        <v>551</v>
      </c>
      <c r="E114" s="155">
        <v>772.61</v>
      </c>
      <c r="F114" s="158" t="s">
        <v>207</v>
      </c>
      <c r="G114" s="340" t="s">
        <v>208</v>
      </c>
      <c r="H114" s="154" t="s">
        <v>294</v>
      </c>
      <c r="I114" s="359" t="s">
        <v>357</v>
      </c>
      <c r="J114" s="51"/>
      <c r="K114" s="51"/>
      <c r="L114" s="51"/>
      <c r="M114" s="51"/>
    </row>
    <row r="115" spans="1:13" ht="35.25" customHeight="1" outlineLevel="2">
      <c r="A115" s="382">
        <v>306</v>
      </c>
      <c r="B115" s="377">
        <v>41967</v>
      </c>
      <c r="C115" s="152" t="s">
        <v>946</v>
      </c>
      <c r="D115" s="340" t="s">
        <v>551</v>
      </c>
      <c r="E115" s="155">
        <v>98.11</v>
      </c>
      <c r="F115" s="158" t="s">
        <v>207</v>
      </c>
      <c r="G115" s="340" t="s">
        <v>208</v>
      </c>
      <c r="H115" s="154" t="s">
        <v>294</v>
      </c>
      <c r="I115" s="359" t="s">
        <v>715</v>
      </c>
      <c r="J115" s="51"/>
      <c r="K115" s="51"/>
      <c r="L115" s="51"/>
      <c r="M115" s="51"/>
    </row>
    <row r="116" spans="1:13" ht="35.25" customHeight="1" outlineLevel="2">
      <c r="A116" s="382">
        <v>310</v>
      </c>
      <c r="B116" s="377">
        <v>41974</v>
      </c>
      <c r="C116" s="152" t="s">
        <v>948</v>
      </c>
      <c r="D116" s="340" t="s">
        <v>367</v>
      </c>
      <c r="E116" s="155">
        <v>11590</v>
      </c>
      <c r="F116" s="158" t="s">
        <v>207</v>
      </c>
      <c r="G116" s="340" t="s">
        <v>208</v>
      </c>
      <c r="H116" s="154" t="s">
        <v>294</v>
      </c>
      <c r="I116" s="359" t="s">
        <v>385</v>
      </c>
      <c r="J116" s="51"/>
      <c r="K116" s="51"/>
      <c r="L116" s="51"/>
      <c r="M116" s="51"/>
    </row>
    <row r="117" spans="1:13" ht="35.25" customHeight="1" outlineLevel="2">
      <c r="A117" s="382">
        <v>313</v>
      </c>
      <c r="B117" s="377">
        <v>41974</v>
      </c>
      <c r="C117" s="152" t="s">
        <v>950</v>
      </c>
      <c r="D117" s="340" t="s">
        <v>991</v>
      </c>
      <c r="E117" s="155">
        <v>1200</v>
      </c>
      <c r="F117" s="158" t="s">
        <v>207</v>
      </c>
      <c r="G117" s="340" t="s">
        <v>208</v>
      </c>
      <c r="H117" s="154" t="s">
        <v>294</v>
      </c>
      <c r="I117" s="359" t="s">
        <v>995</v>
      </c>
      <c r="J117" s="51"/>
      <c r="K117" s="51"/>
      <c r="L117" s="51"/>
      <c r="M117" s="51"/>
    </row>
    <row r="118" spans="1:13" ht="35.25" customHeight="1" outlineLevel="2">
      <c r="A118" s="382">
        <v>314</v>
      </c>
      <c r="B118" s="377">
        <v>41974</v>
      </c>
      <c r="C118" s="152" t="s">
        <v>951</v>
      </c>
      <c r="D118" s="340" t="s">
        <v>991</v>
      </c>
      <c r="E118" s="155">
        <v>115.2</v>
      </c>
      <c r="F118" s="158" t="s">
        <v>207</v>
      </c>
      <c r="G118" s="340" t="s">
        <v>208</v>
      </c>
      <c r="H118" s="154" t="s">
        <v>294</v>
      </c>
      <c r="I118" s="359" t="s">
        <v>995</v>
      </c>
      <c r="J118" s="51"/>
      <c r="K118" s="51"/>
      <c r="L118" s="51"/>
      <c r="M118" s="51"/>
    </row>
    <row r="119" spans="1:13" ht="35.25" customHeight="1" outlineLevel="2">
      <c r="A119" s="382">
        <v>316</v>
      </c>
      <c r="B119" s="377">
        <v>41982</v>
      </c>
      <c r="C119" s="152" t="s">
        <v>952</v>
      </c>
      <c r="D119" s="340" t="s">
        <v>992</v>
      </c>
      <c r="E119" s="155">
        <v>11590</v>
      </c>
      <c r="F119" s="158" t="s">
        <v>207</v>
      </c>
      <c r="G119" s="340" t="s">
        <v>208</v>
      </c>
      <c r="H119" s="154" t="s">
        <v>294</v>
      </c>
      <c r="I119" s="359" t="s">
        <v>594</v>
      </c>
      <c r="J119" s="51"/>
      <c r="K119" s="51"/>
      <c r="L119" s="51"/>
      <c r="M119" s="51"/>
    </row>
    <row r="120" spans="1:13" ht="35.25" customHeight="1" outlineLevel="2">
      <c r="A120" s="382">
        <v>317</v>
      </c>
      <c r="B120" s="377">
        <v>41989</v>
      </c>
      <c r="C120" s="152" t="s">
        <v>954</v>
      </c>
      <c r="D120" s="340" t="s">
        <v>993</v>
      </c>
      <c r="E120" s="155">
        <v>2564</v>
      </c>
      <c r="F120" s="158" t="s">
        <v>207</v>
      </c>
      <c r="G120" s="340" t="s">
        <v>208</v>
      </c>
      <c r="H120" s="154" t="s">
        <v>294</v>
      </c>
      <c r="I120" s="359" t="s">
        <v>594</v>
      </c>
      <c r="J120" s="51"/>
      <c r="K120" s="51"/>
      <c r="L120" s="51"/>
      <c r="M120" s="51"/>
    </row>
    <row r="121" spans="1:13" ht="35.25" customHeight="1" outlineLevel="2">
      <c r="A121" s="382">
        <v>318</v>
      </c>
      <c r="B121" s="377">
        <v>41989</v>
      </c>
      <c r="C121" s="152" t="s">
        <v>955</v>
      </c>
      <c r="D121" s="340" t="s">
        <v>994</v>
      </c>
      <c r="E121" s="155">
        <v>312.08</v>
      </c>
      <c r="F121" s="158" t="s">
        <v>207</v>
      </c>
      <c r="G121" s="340" t="s">
        <v>208</v>
      </c>
      <c r="H121" s="154" t="s">
        <v>294</v>
      </c>
      <c r="I121" s="359" t="s">
        <v>995</v>
      </c>
      <c r="J121" s="51"/>
      <c r="K121" s="51"/>
      <c r="L121" s="51"/>
      <c r="M121" s="51"/>
    </row>
    <row r="122" spans="1:13" ht="35.25" customHeight="1" outlineLevel="2" thickBot="1">
      <c r="A122" s="382">
        <v>320</v>
      </c>
      <c r="B122" s="377">
        <v>41992</v>
      </c>
      <c r="C122" s="152" t="s">
        <v>958</v>
      </c>
      <c r="D122" s="340" t="s">
        <v>993</v>
      </c>
      <c r="E122" s="155">
        <v>10982</v>
      </c>
      <c r="F122" s="158" t="s">
        <v>207</v>
      </c>
      <c r="G122" s="340" t="s">
        <v>208</v>
      </c>
      <c r="H122" s="154" t="s">
        <v>294</v>
      </c>
      <c r="I122" s="359" t="s">
        <v>594</v>
      </c>
      <c r="J122" s="51"/>
      <c r="K122" s="51"/>
      <c r="L122" s="51"/>
      <c r="M122" s="51"/>
    </row>
    <row r="123" spans="1:13" ht="35.25" customHeight="1" outlineLevel="2" thickTop="1">
      <c r="A123" s="382">
        <v>321</v>
      </c>
      <c r="B123" s="377">
        <v>41995</v>
      </c>
      <c r="C123" s="152" t="s">
        <v>959</v>
      </c>
      <c r="D123" s="340" t="s">
        <v>372</v>
      </c>
      <c r="E123" s="155">
        <v>6</v>
      </c>
      <c r="F123" s="355" t="s">
        <v>207</v>
      </c>
      <c r="G123" s="354" t="s">
        <v>208</v>
      </c>
      <c r="H123" s="154" t="s">
        <v>294</v>
      </c>
      <c r="I123" s="359" t="s">
        <v>358</v>
      </c>
      <c r="J123" s="51"/>
      <c r="K123" s="51"/>
      <c r="L123" s="51"/>
      <c r="M123" s="51"/>
    </row>
    <row r="124" spans="1:13" ht="35.25" customHeight="1" outlineLevel="2">
      <c r="A124" s="382">
        <v>322</v>
      </c>
      <c r="B124" s="377">
        <v>41995</v>
      </c>
      <c r="C124" s="152" t="s">
        <v>960</v>
      </c>
      <c r="D124" s="340" t="s">
        <v>373</v>
      </c>
      <c r="E124" s="155">
        <v>4000</v>
      </c>
      <c r="F124" s="158" t="s">
        <v>207</v>
      </c>
      <c r="G124" s="340" t="s">
        <v>208</v>
      </c>
      <c r="H124" s="154" t="s">
        <v>294</v>
      </c>
      <c r="I124" s="359" t="s">
        <v>715</v>
      </c>
      <c r="J124" s="51"/>
      <c r="K124" s="51"/>
      <c r="L124" s="51"/>
      <c r="M124" s="51"/>
    </row>
    <row r="125" spans="1:13" ht="35.25" customHeight="1" outlineLevel="2">
      <c r="A125" s="382">
        <v>323</v>
      </c>
      <c r="B125" s="377">
        <v>41995</v>
      </c>
      <c r="C125" s="152" t="s">
        <v>961</v>
      </c>
      <c r="D125" s="340" t="s">
        <v>373</v>
      </c>
      <c r="E125" s="155">
        <v>267</v>
      </c>
      <c r="F125" s="158" t="s">
        <v>207</v>
      </c>
      <c r="G125" s="340" t="s">
        <v>208</v>
      </c>
      <c r="H125" s="154" t="s">
        <v>294</v>
      </c>
      <c r="I125" s="359" t="s">
        <v>385</v>
      </c>
      <c r="J125" s="51"/>
      <c r="K125" s="51"/>
      <c r="L125" s="51"/>
      <c r="M125" s="51"/>
    </row>
    <row r="126" spans="1:13" ht="35.25" customHeight="1" outlineLevel="2">
      <c r="A126" s="382">
        <v>332</v>
      </c>
      <c r="B126" s="377">
        <v>42004</v>
      </c>
      <c r="C126" s="152" t="s">
        <v>964</v>
      </c>
      <c r="D126" s="340" t="s">
        <v>373</v>
      </c>
      <c r="E126" s="155">
        <v>419.29</v>
      </c>
      <c r="F126" s="158" t="s">
        <v>207</v>
      </c>
      <c r="G126" s="340" t="s">
        <v>208</v>
      </c>
      <c r="H126" s="154" t="s">
        <v>294</v>
      </c>
      <c r="I126" s="404" t="s">
        <v>715</v>
      </c>
      <c r="J126" s="51"/>
      <c r="K126" s="51"/>
      <c r="L126" s="51"/>
      <c r="M126" s="51"/>
    </row>
    <row r="127" spans="1:13" ht="35.25" customHeight="1" outlineLevel="2">
      <c r="A127" s="382">
        <v>333</v>
      </c>
      <c r="B127" s="377">
        <v>42004</v>
      </c>
      <c r="C127" s="152" t="s">
        <v>965</v>
      </c>
      <c r="D127" s="340" t="s">
        <v>373</v>
      </c>
      <c r="E127" s="155">
        <v>270</v>
      </c>
      <c r="F127" s="158" t="s">
        <v>207</v>
      </c>
      <c r="G127" s="340" t="s">
        <v>208</v>
      </c>
      <c r="H127" s="154" t="s">
        <v>294</v>
      </c>
      <c r="I127" s="359" t="s">
        <v>715</v>
      </c>
      <c r="J127" s="51"/>
      <c r="K127" s="51"/>
      <c r="L127" s="51"/>
      <c r="M127" s="51"/>
    </row>
    <row r="128" spans="1:13" ht="35.25" customHeight="1" outlineLevel="2">
      <c r="A128" s="382">
        <v>334</v>
      </c>
      <c r="B128" s="377">
        <v>42004</v>
      </c>
      <c r="C128" s="152" t="s">
        <v>966</v>
      </c>
      <c r="D128" s="340" t="s">
        <v>373</v>
      </c>
      <c r="E128" s="155">
        <v>831.98</v>
      </c>
      <c r="F128" s="158" t="s">
        <v>207</v>
      </c>
      <c r="G128" s="340" t="s">
        <v>208</v>
      </c>
      <c r="H128" s="154" t="s">
        <v>294</v>
      </c>
      <c r="I128" s="359" t="s">
        <v>715</v>
      </c>
      <c r="J128" s="51"/>
      <c r="K128" s="51"/>
      <c r="L128" s="51"/>
      <c r="M128" s="51"/>
    </row>
    <row r="129" spans="1:13" ht="35.25" customHeight="1" outlineLevel="1">
      <c r="A129" s="382"/>
      <c r="B129" s="377"/>
      <c r="C129" s="152"/>
      <c r="D129" s="340"/>
      <c r="E129" s="155">
        <f>SUBTOTAL(9,E74:E128)</f>
        <v>102955.64</v>
      </c>
      <c r="F129" s="636" t="s">
        <v>1050</v>
      </c>
      <c r="G129" s="340"/>
      <c r="H129" s="154"/>
      <c r="I129" s="359">
        <f>SUBTOTAL(9,I74:I128)</f>
        <v>0</v>
      </c>
      <c r="J129" s="51"/>
      <c r="K129" s="51"/>
      <c r="L129" s="51"/>
      <c r="M129" s="51"/>
    </row>
    <row r="130" spans="1:13" ht="35.25" customHeight="1" outlineLevel="2">
      <c r="A130" s="382">
        <v>26</v>
      </c>
      <c r="B130" s="574">
        <v>41659</v>
      </c>
      <c r="C130" s="575" t="s">
        <v>835</v>
      </c>
      <c r="D130" s="576" t="s">
        <v>834</v>
      </c>
      <c r="E130" s="577">
        <v>1750</v>
      </c>
      <c r="F130" s="578" t="s">
        <v>262</v>
      </c>
      <c r="G130" s="576" t="s">
        <v>263</v>
      </c>
      <c r="H130" s="562" t="s">
        <v>294</v>
      </c>
      <c r="I130" s="582" t="s">
        <v>751</v>
      </c>
      <c r="J130" s="51"/>
      <c r="K130" s="51"/>
      <c r="L130" s="51"/>
      <c r="M130" s="51"/>
    </row>
    <row r="131" spans="1:13" ht="35.25" customHeight="1" outlineLevel="2">
      <c r="A131" s="382">
        <v>37</v>
      </c>
      <c r="B131" s="574">
        <v>41673</v>
      </c>
      <c r="C131" s="575" t="s">
        <v>837</v>
      </c>
      <c r="D131" s="576" t="s">
        <v>836</v>
      </c>
      <c r="E131" s="577">
        <v>3500</v>
      </c>
      <c r="F131" s="578" t="s">
        <v>262</v>
      </c>
      <c r="G131" s="576" t="s">
        <v>263</v>
      </c>
      <c r="H131" s="562" t="s">
        <v>294</v>
      </c>
      <c r="I131" s="582" t="s">
        <v>751</v>
      </c>
      <c r="J131" s="51"/>
      <c r="K131" s="51"/>
      <c r="L131" s="51"/>
      <c r="M131" s="51"/>
    </row>
    <row r="132" spans="1:13" ht="35.25" customHeight="1" outlineLevel="2">
      <c r="A132" s="382">
        <v>42</v>
      </c>
      <c r="B132" s="574">
        <v>41688</v>
      </c>
      <c r="C132" s="575" t="s">
        <v>839</v>
      </c>
      <c r="D132" s="576" t="s">
        <v>838</v>
      </c>
      <c r="E132" s="577">
        <v>950</v>
      </c>
      <c r="F132" s="578" t="s">
        <v>262</v>
      </c>
      <c r="G132" s="576" t="s">
        <v>263</v>
      </c>
      <c r="H132" s="562" t="s">
        <v>294</v>
      </c>
      <c r="I132" s="582" t="s">
        <v>751</v>
      </c>
      <c r="J132" s="51"/>
      <c r="K132" s="51"/>
      <c r="L132" s="51"/>
      <c r="M132" s="51"/>
    </row>
    <row r="133" spans="1:13" ht="35.25" customHeight="1" outlineLevel="2">
      <c r="A133" s="382">
        <v>55</v>
      </c>
      <c r="B133" s="377">
        <v>41708</v>
      </c>
      <c r="C133" s="152" t="s">
        <v>461</v>
      </c>
      <c r="D133" s="340" t="s">
        <v>373</v>
      </c>
      <c r="E133" s="375">
        <v>30.5</v>
      </c>
      <c r="F133" s="158" t="s">
        <v>262</v>
      </c>
      <c r="G133" s="159" t="s">
        <v>263</v>
      </c>
      <c r="H133" s="154" t="s">
        <v>294</v>
      </c>
      <c r="I133" s="359" t="s">
        <v>370</v>
      </c>
      <c r="J133" s="51"/>
      <c r="K133" s="51"/>
      <c r="L133" s="51"/>
      <c r="M133" s="51"/>
    </row>
    <row r="134" spans="1:13" ht="35.25" customHeight="1" outlineLevel="2">
      <c r="A134" s="382">
        <v>61</v>
      </c>
      <c r="B134" s="377">
        <v>41708</v>
      </c>
      <c r="C134" s="152" t="s">
        <v>460</v>
      </c>
      <c r="D134" s="340" t="s">
        <v>377</v>
      </c>
      <c r="E134" s="370">
        <v>403.01</v>
      </c>
      <c r="F134" s="158" t="s">
        <v>262</v>
      </c>
      <c r="G134" s="340" t="s">
        <v>263</v>
      </c>
      <c r="H134" s="154" t="s">
        <v>294</v>
      </c>
      <c r="I134" s="359" t="s">
        <v>378</v>
      </c>
      <c r="J134" s="51"/>
      <c r="K134" s="51"/>
      <c r="L134" s="51"/>
      <c r="M134" s="51"/>
    </row>
    <row r="135" spans="1:13" ht="35.25" customHeight="1" outlineLevel="2">
      <c r="A135" s="382">
        <v>62</v>
      </c>
      <c r="B135" s="574">
        <v>41709</v>
      </c>
      <c r="C135" s="575" t="s">
        <v>841</v>
      </c>
      <c r="D135" s="576" t="s">
        <v>840</v>
      </c>
      <c r="E135" s="577">
        <v>525</v>
      </c>
      <c r="F135" s="578" t="s">
        <v>262</v>
      </c>
      <c r="G135" s="576" t="s">
        <v>263</v>
      </c>
      <c r="H135" s="562" t="s">
        <v>294</v>
      </c>
      <c r="I135" s="582" t="s">
        <v>751</v>
      </c>
      <c r="J135" s="51"/>
      <c r="K135" s="51"/>
      <c r="L135" s="51"/>
      <c r="M135" s="51"/>
    </row>
    <row r="136" spans="1:13" ht="35.25" customHeight="1" outlineLevel="2">
      <c r="A136" s="382">
        <v>68</v>
      </c>
      <c r="B136" s="574">
        <v>41716</v>
      </c>
      <c r="C136" s="575" t="s">
        <v>843</v>
      </c>
      <c r="D136" s="576" t="s">
        <v>842</v>
      </c>
      <c r="E136" s="577">
        <v>740</v>
      </c>
      <c r="F136" s="578" t="s">
        <v>262</v>
      </c>
      <c r="G136" s="576" t="s">
        <v>263</v>
      </c>
      <c r="H136" s="562" t="s">
        <v>294</v>
      </c>
      <c r="I136" s="582" t="s">
        <v>751</v>
      </c>
      <c r="J136" s="51"/>
      <c r="K136" s="51"/>
      <c r="L136" s="51"/>
      <c r="M136" s="51"/>
    </row>
    <row r="137" spans="1:13" ht="35.25" customHeight="1" outlineLevel="2">
      <c r="A137" s="382">
        <v>71</v>
      </c>
      <c r="B137" s="377">
        <v>41722</v>
      </c>
      <c r="C137" s="152" t="s">
        <v>465</v>
      </c>
      <c r="D137" s="340" t="s">
        <v>376</v>
      </c>
      <c r="E137" s="370">
        <v>280</v>
      </c>
      <c r="F137" s="158" t="s">
        <v>262</v>
      </c>
      <c r="G137" s="340" t="s">
        <v>263</v>
      </c>
      <c r="H137" s="154" t="s">
        <v>294</v>
      </c>
      <c r="I137" s="359" t="s">
        <v>370</v>
      </c>
      <c r="J137" s="51"/>
      <c r="K137" s="51"/>
      <c r="L137" s="51"/>
      <c r="M137" s="51"/>
    </row>
    <row r="138" spans="1:13" ht="35.25" customHeight="1" outlineLevel="2">
      <c r="A138" s="382">
        <v>72</v>
      </c>
      <c r="B138" s="377">
        <v>41722</v>
      </c>
      <c r="C138" s="152" t="s">
        <v>466</v>
      </c>
      <c r="D138" s="340" t="s">
        <v>371</v>
      </c>
      <c r="E138" s="370">
        <v>857.75</v>
      </c>
      <c r="F138" s="158" t="s">
        <v>262</v>
      </c>
      <c r="G138" s="340" t="s">
        <v>263</v>
      </c>
      <c r="H138" s="154" t="s">
        <v>294</v>
      </c>
      <c r="I138" s="359" t="s">
        <v>324</v>
      </c>
      <c r="J138" s="51"/>
      <c r="K138" s="51"/>
      <c r="L138" s="51"/>
      <c r="M138" s="51"/>
    </row>
    <row r="139" spans="1:13" ht="35.25" customHeight="1" outlineLevel="2">
      <c r="A139" s="382">
        <v>73</v>
      </c>
      <c r="B139" s="377">
        <v>41722</v>
      </c>
      <c r="C139" s="152" t="s">
        <v>467</v>
      </c>
      <c r="D139" s="340" t="s">
        <v>371</v>
      </c>
      <c r="E139" s="370">
        <v>669.79</v>
      </c>
      <c r="F139" s="158" t="s">
        <v>262</v>
      </c>
      <c r="G139" s="340" t="s">
        <v>263</v>
      </c>
      <c r="H139" s="154" t="s">
        <v>294</v>
      </c>
      <c r="I139" s="359" t="s">
        <v>324</v>
      </c>
      <c r="J139" s="51"/>
      <c r="K139" s="51"/>
      <c r="L139" s="51"/>
      <c r="M139" s="51"/>
    </row>
    <row r="140" spans="1:13" ht="35.25" customHeight="1" outlineLevel="2">
      <c r="A140" s="382">
        <v>74</v>
      </c>
      <c r="B140" s="377">
        <v>41722</v>
      </c>
      <c r="C140" s="152" t="s">
        <v>468</v>
      </c>
      <c r="D140" s="340" t="s">
        <v>371</v>
      </c>
      <c r="E140" s="370">
        <v>1112.14</v>
      </c>
      <c r="F140" s="158" t="s">
        <v>262</v>
      </c>
      <c r="G140" s="340" t="s">
        <v>263</v>
      </c>
      <c r="H140" s="154" t="s">
        <v>294</v>
      </c>
      <c r="I140" s="359" t="s">
        <v>324</v>
      </c>
      <c r="J140" s="51"/>
      <c r="K140" s="51"/>
      <c r="L140" s="51"/>
      <c r="M140" s="51"/>
    </row>
    <row r="141" spans="1:13" ht="35.25" customHeight="1" outlineLevel="2">
      <c r="A141" s="382">
        <v>75</v>
      </c>
      <c r="B141" s="377">
        <v>41722</v>
      </c>
      <c r="C141" s="152" t="s">
        <v>469</v>
      </c>
      <c r="D141" s="340" t="s">
        <v>371</v>
      </c>
      <c r="E141" s="370">
        <v>436.91</v>
      </c>
      <c r="F141" s="158" t="s">
        <v>262</v>
      </c>
      <c r="G141" s="340" t="s">
        <v>263</v>
      </c>
      <c r="H141" s="154" t="s">
        <v>294</v>
      </c>
      <c r="I141" s="359" t="s">
        <v>324</v>
      </c>
      <c r="J141" s="51"/>
      <c r="K141" s="51"/>
      <c r="L141" s="51"/>
      <c r="M141" s="51"/>
    </row>
    <row r="142" spans="1:13" ht="35.25" customHeight="1" outlineLevel="2">
      <c r="A142" s="382">
        <v>76</v>
      </c>
      <c r="B142" s="377">
        <v>41722</v>
      </c>
      <c r="C142" s="152" t="s">
        <v>470</v>
      </c>
      <c r="D142" s="340" t="s">
        <v>379</v>
      </c>
      <c r="E142" s="370">
        <v>196.5</v>
      </c>
      <c r="F142" s="158" t="s">
        <v>262</v>
      </c>
      <c r="G142" s="340" t="s">
        <v>263</v>
      </c>
      <c r="H142" s="154" t="s">
        <v>294</v>
      </c>
      <c r="I142" s="359" t="s">
        <v>324</v>
      </c>
      <c r="J142" s="51"/>
      <c r="K142" s="51"/>
      <c r="L142" s="51"/>
      <c r="M142" s="51"/>
    </row>
    <row r="143" spans="1:13" ht="35.25" customHeight="1" outlineLevel="2">
      <c r="A143" s="382">
        <v>77</v>
      </c>
      <c r="B143" s="377">
        <v>41722</v>
      </c>
      <c r="C143" s="152" t="s">
        <v>471</v>
      </c>
      <c r="D143" s="340" t="s">
        <v>379</v>
      </c>
      <c r="E143" s="370">
        <v>223.2</v>
      </c>
      <c r="F143" s="158" t="s">
        <v>262</v>
      </c>
      <c r="G143" s="340" t="s">
        <v>263</v>
      </c>
      <c r="H143" s="154" t="s">
        <v>294</v>
      </c>
      <c r="I143" s="359" t="s">
        <v>324</v>
      </c>
      <c r="J143" s="51"/>
      <c r="K143" s="51"/>
      <c r="L143" s="51"/>
      <c r="M143" s="51"/>
    </row>
    <row r="144" spans="1:13" ht="35.25" customHeight="1" outlineLevel="2">
      <c r="A144" s="382">
        <v>78</v>
      </c>
      <c r="B144" s="377">
        <v>41722</v>
      </c>
      <c r="C144" s="152" t="s">
        <v>474</v>
      </c>
      <c r="D144" s="340" t="s">
        <v>376</v>
      </c>
      <c r="E144" s="370">
        <v>396.61</v>
      </c>
      <c r="F144" s="158" t="s">
        <v>262</v>
      </c>
      <c r="G144" s="340" t="s">
        <v>263</v>
      </c>
      <c r="H144" s="154" t="s">
        <v>294</v>
      </c>
      <c r="I144" s="359" t="s">
        <v>370</v>
      </c>
      <c r="J144" s="51"/>
      <c r="K144" s="51"/>
      <c r="L144" s="51"/>
      <c r="M144" s="51"/>
    </row>
    <row r="145" spans="1:13" ht="35.25" customHeight="1" outlineLevel="2">
      <c r="A145" s="382">
        <v>79</v>
      </c>
      <c r="B145" s="377">
        <v>41722</v>
      </c>
      <c r="C145" s="152" t="s">
        <v>475</v>
      </c>
      <c r="D145" s="340" t="s">
        <v>376</v>
      </c>
      <c r="E145" s="370">
        <v>199.8</v>
      </c>
      <c r="F145" s="158" t="s">
        <v>262</v>
      </c>
      <c r="G145" s="340" t="s">
        <v>263</v>
      </c>
      <c r="H145" s="154" t="s">
        <v>294</v>
      </c>
      <c r="I145" s="359" t="s">
        <v>370</v>
      </c>
      <c r="J145" s="51"/>
      <c r="K145" s="51"/>
      <c r="L145" s="51"/>
      <c r="M145" s="51"/>
    </row>
    <row r="146" spans="1:13" ht="35.25" customHeight="1" outlineLevel="2">
      <c r="A146" s="382">
        <v>80</v>
      </c>
      <c r="B146" s="377">
        <v>41722</v>
      </c>
      <c r="C146" s="152" t="s">
        <v>476</v>
      </c>
      <c r="D146" s="340" t="s">
        <v>371</v>
      </c>
      <c r="E146" s="370">
        <v>351.15</v>
      </c>
      <c r="F146" s="158" t="s">
        <v>262</v>
      </c>
      <c r="G146" s="340" t="s">
        <v>263</v>
      </c>
      <c r="H146" s="154" t="s">
        <v>294</v>
      </c>
      <c r="I146" s="359" t="s">
        <v>370</v>
      </c>
      <c r="J146" s="51"/>
      <c r="K146" s="51"/>
      <c r="L146" s="51"/>
      <c r="M146" s="51"/>
    </row>
    <row r="147" spans="1:13" ht="35.25" customHeight="1" outlineLevel="2">
      <c r="A147" s="382">
        <v>81</v>
      </c>
      <c r="B147" s="377">
        <v>41726</v>
      </c>
      <c r="C147" s="152" t="s">
        <v>477</v>
      </c>
      <c r="D147" s="340" t="s">
        <v>478</v>
      </c>
      <c r="E147" s="370">
        <v>440</v>
      </c>
      <c r="F147" s="158" t="s">
        <v>262</v>
      </c>
      <c r="G147" s="340" t="s">
        <v>263</v>
      </c>
      <c r="H147" s="154" t="s">
        <v>294</v>
      </c>
      <c r="I147" s="359" t="s">
        <v>324</v>
      </c>
      <c r="J147" s="51"/>
      <c r="K147" s="51"/>
      <c r="L147" s="51"/>
      <c r="M147" s="51"/>
    </row>
    <row r="148" spans="1:13" ht="35.25" customHeight="1" outlineLevel="2">
      <c r="A148" s="382">
        <v>82</v>
      </c>
      <c r="B148" s="377">
        <v>41726</v>
      </c>
      <c r="C148" s="152" t="s">
        <v>479</v>
      </c>
      <c r="D148" s="340" t="s">
        <v>480</v>
      </c>
      <c r="E148" s="370">
        <v>540</v>
      </c>
      <c r="F148" s="158" t="s">
        <v>262</v>
      </c>
      <c r="G148" s="340" t="s">
        <v>263</v>
      </c>
      <c r="H148" s="154" t="s">
        <v>294</v>
      </c>
      <c r="I148" s="359" t="s">
        <v>324</v>
      </c>
      <c r="J148" s="51"/>
      <c r="K148" s="51"/>
      <c r="L148" s="51"/>
      <c r="M148" s="51"/>
    </row>
    <row r="149" spans="1:13" ht="35.25" customHeight="1" outlineLevel="2">
      <c r="A149" s="382">
        <v>83</v>
      </c>
      <c r="B149" s="377">
        <v>41726</v>
      </c>
      <c r="C149" s="152" t="s">
        <v>481</v>
      </c>
      <c r="D149" s="340" t="s">
        <v>480</v>
      </c>
      <c r="E149" s="370">
        <v>120</v>
      </c>
      <c r="F149" s="158" t="s">
        <v>262</v>
      </c>
      <c r="G149" s="340" t="s">
        <v>263</v>
      </c>
      <c r="H149" s="154" t="s">
        <v>294</v>
      </c>
      <c r="I149" s="359" t="s">
        <v>324</v>
      </c>
      <c r="J149" s="51"/>
      <c r="K149" s="51"/>
      <c r="L149" s="51"/>
      <c r="M149" s="51"/>
    </row>
    <row r="150" spans="1:13" ht="35.25" customHeight="1" outlineLevel="2">
      <c r="A150" s="382">
        <v>84</v>
      </c>
      <c r="B150" s="377">
        <v>41729</v>
      </c>
      <c r="C150" s="152" t="s">
        <v>482</v>
      </c>
      <c r="D150" s="340" t="s">
        <v>371</v>
      </c>
      <c r="E150" s="370">
        <v>654.29</v>
      </c>
      <c r="F150" s="158" t="s">
        <v>262</v>
      </c>
      <c r="G150" s="340" t="s">
        <v>263</v>
      </c>
      <c r="H150" s="154" t="s">
        <v>294</v>
      </c>
      <c r="I150" s="359" t="s">
        <v>370</v>
      </c>
      <c r="J150" s="51"/>
      <c r="K150" s="51"/>
      <c r="L150" s="51"/>
      <c r="M150" s="51"/>
    </row>
    <row r="151" spans="1:13" ht="35.25" customHeight="1" outlineLevel="2">
      <c r="A151" s="382">
        <v>85</v>
      </c>
      <c r="B151" s="377">
        <v>41729</v>
      </c>
      <c r="C151" s="152" t="s">
        <v>483</v>
      </c>
      <c r="D151" s="340" t="s">
        <v>376</v>
      </c>
      <c r="E151" s="370">
        <v>218.6</v>
      </c>
      <c r="F151" s="158" t="s">
        <v>262</v>
      </c>
      <c r="G151" s="340" t="s">
        <v>263</v>
      </c>
      <c r="H151" s="154" t="s">
        <v>294</v>
      </c>
      <c r="I151" s="359" t="s">
        <v>370</v>
      </c>
      <c r="J151" s="51"/>
      <c r="K151" s="51"/>
      <c r="L151" s="51"/>
      <c r="M151" s="51"/>
    </row>
    <row r="152" spans="1:13" ht="35.25" customHeight="1" outlineLevel="2">
      <c r="A152" s="382">
        <v>89</v>
      </c>
      <c r="B152" s="574">
        <v>41730</v>
      </c>
      <c r="C152" s="575" t="s">
        <v>387</v>
      </c>
      <c r="D152" s="576" t="s">
        <v>293</v>
      </c>
      <c r="E152" s="577">
        <v>24.66</v>
      </c>
      <c r="F152" s="578" t="s">
        <v>262</v>
      </c>
      <c r="G152" s="576" t="s">
        <v>263</v>
      </c>
      <c r="H152" s="562" t="s">
        <v>294</v>
      </c>
      <c r="I152" s="582" t="s">
        <v>751</v>
      </c>
      <c r="J152" s="51"/>
      <c r="K152" s="51"/>
      <c r="L152" s="51"/>
      <c r="M152" s="51"/>
    </row>
    <row r="153" spans="1:13" ht="35.25" customHeight="1" outlineLevel="2">
      <c r="A153" s="382">
        <v>90</v>
      </c>
      <c r="B153" s="377">
        <v>41731</v>
      </c>
      <c r="C153" s="152" t="s">
        <v>484</v>
      </c>
      <c r="D153" s="340" t="s">
        <v>485</v>
      </c>
      <c r="E153" s="155">
        <v>19557</v>
      </c>
      <c r="F153" s="158" t="s">
        <v>262</v>
      </c>
      <c r="G153" s="340" t="s">
        <v>263</v>
      </c>
      <c r="H153" s="154" t="s">
        <v>295</v>
      </c>
      <c r="I153" s="359" t="s">
        <v>383</v>
      </c>
      <c r="J153" s="51"/>
      <c r="K153" s="51"/>
      <c r="L153" s="51"/>
      <c r="M153" s="51"/>
    </row>
    <row r="154" spans="1:13" ht="35.25" customHeight="1" outlineLevel="2">
      <c r="A154" s="382">
        <v>101</v>
      </c>
      <c r="B154" s="574">
        <v>41752</v>
      </c>
      <c r="C154" s="575" t="s">
        <v>845</v>
      </c>
      <c r="D154" s="576" t="s">
        <v>844</v>
      </c>
      <c r="E154" s="577">
        <v>440</v>
      </c>
      <c r="F154" s="578" t="s">
        <v>262</v>
      </c>
      <c r="G154" s="576" t="s">
        <v>263</v>
      </c>
      <c r="H154" s="562" t="s">
        <v>294</v>
      </c>
      <c r="I154" s="582" t="s">
        <v>751</v>
      </c>
      <c r="J154" s="51"/>
      <c r="K154" s="51"/>
      <c r="L154" s="51"/>
      <c r="M154" s="51"/>
    </row>
    <row r="155" spans="1:13" ht="35.25" customHeight="1" outlineLevel="2">
      <c r="A155" s="382">
        <v>102</v>
      </c>
      <c r="B155" s="574">
        <v>41752</v>
      </c>
      <c r="C155" s="575" t="s">
        <v>847</v>
      </c>
      <c r="D155" s="576" t="s">
        <v>846</v>
      </c>
      <c r="E155" s="577">
        <v>3980</v>
      </c>
      <c r="F155" s="578" t="s">
        <v>262</v>
      </c>
      <c r="G155" s="576" t="s">
        <v>263</v>
      </c>
      <c r="H155" s="562" t="s">
        <v>294</v>
      </c>
      <c r="I155" s="582" t="s">
        <v>751</v>
      </c>
      <c r="J155" s="51"/>
      <c r="K155" s="51"/>
      <c r="L155" s="51"/>
      <c r="M155" s="51"/>
    </row>
    <row r="156" spans="1:13" ht="35.25" customHeight="1" outlineLevel="2">
      <c r="A156" s="382">
        <v>103</v>
      </c>
      <c r="B156" s="574">
        <v>41752</v>
      </c>
      <c r="C156" s="575" t="s">
        <v>849</v>
      </c>
      <c r="D156" s="576" t="s">
        <v>848</v>
      </c>
      <c r="E156" s="577">
        <v>1250</v>
      </c>
      <c r="F156" s="578" t="s">
        <v>262</v>
      </c>
      <c r="G156" s="576" t="s">
        <v>263</v>
      </c>
      <c r="H156" s="562" t="s">
        <v>294</v>
      </c>
      <c r="I156" s="582" t="s">
        <v>751</v>
      </c>
      <c r="J156" s="51"/>
      <c r="K156" s="51"/>
      <c r="L156" s="51"/>
      <c r="M156" s="51"/>
    </row>
    <row r="157" spans="1:13" ht="35.25" customHeight="1" outlineLevel="2">
      <c r="A157" s="382">
        <v>104</v>
      </c>
      <c r="B157" s="574">
        <v>41758</v>
      </c>
      <c r="C157" s="575" t="s">
        <v>851</v>
      </c>
      <c r="D157" s="576" t="s">
        <v>850</v>
      </c>
      <c r="E157" s="577">
        <v>250</v>
      </c>
      <c r="F157" s="578" t="s">
        <v>262</v>
      </c>
      <c r="G157" s="576" t="s">
        <v>263</v>
      </c>
      <c r="H157" s="562" t="s">
        <v>294</v>
      </c>
      <c r="I157" s="582" t="s">
        <v>751</v>
      </c>
      <c r="J157" s="51"/>
      <c r="K157" s="51"/>
      <c r="L157" s="51"/>
      <c r="M157" s="51"/>
    </row>
    <row r="158" spans="1:13" ht="35.25" customHeight="1" outlineLevel="2">
      <c r="A158" s="382">
        <v>105</v>
      </c>
      <c r="B158" s="574">
        <v>41758</v>
      </c>
      <c r="C158" s="575" t="s">
        <v>853</v>
      </c>
      <c r="D158" s="576" t="s">
        <v>852</v>
      </c>
      <c r="E158" s="577">
        <v>1700</v>
      </c>
      <c r="F158" s="578" t="s">
        <v>262</v>
      </c>
      <c r="G158" s="576" t="s">
        <v>263</v>
      </c>
      <c r="H158" s="562" t="s">
        <v>294</v>
      </c>
      <c r="I158" s="582" t="s">
        <v>751</v>
      </c>
      <c r="J158" s="51"/>
      <c r="K158" s="51"/>
      <c r="L158" s="51"/>
      <c r="M158" s="51"/>
    </row>
    <row r="159" spans="1:13" ht="35.25" customHeight="1" outlineLevel="2">
      <c r="A159" s="382">
        <v>106</v>
      </c>
      <c r="B159" s="574">
        <v>41758</v>
      </c>
      <c r="C159" s="575" t="s">
        <v>854</v>
      </c>
      <c r="D159" s="576" t="s">
        <v>838</v>
      </c>
      <c r="E159" s="577">
        <v>950</v>
      </c>
      <c r="F159" s="578" t="s">
        <v>262</v>
      </c>
      <c r="G159" s="576" t="s">
        <v>263</v>
      </c>
      <c r="H159" s="562" t="s">
        <v>294</v>
      </c>
      <c r="I159" s="582" t="s">
        <v>751</v>
      </c>
      <c r="J159" s="51"/>
      <c r="K159" s="51"/>
      <c r="L159" s="51"/>
      <c r="M159" s="51"/>
    </row>
    <row r="160" spans="1:13" ht="35.25" customHeight="1" outlineLevel="2">
      <c r="A160" s="382">
        <v>107</v>
      </c>
      <c r="B160" s="574">
        <v>41758</v>
      </c>
      <c r="C160" s="575" t="s">
        <v>855</v>
      </c>
      <c r="D160" s="576" t="s">
        <v>852</v>
      </c>
      <c r="E160" s="577">
        <v>3800</v>
      </c>
      <c r="F160" s="578" t="s">
        <v>262</v>
      </c>
      <c r="G160" s="576" t="s">
        <v>263</v>
      </c>
      <c r="H160" s="562" t="s">
        <v>294</v>
      </c>
      <c r="I160" s="582" t="s">
        <v>751</v>
      </c>
      <c r="J160" s="51"/>
      <c r="K160" s="51"/>
      <c r="L160" s="51"/>
      <c r="M160" s="51"/>
    </row>
    <row r="161" spans="1:13" ht="35.25" customHeight="1" outlineLevel="2">
      <c r="A161" s="382">
        <v>116</v>
      </c>
      <c r="B161" s="377">
        <v>41766</v>
      </c>
      <c r="C161" s="152" t="s">
        <v>495</v>
      </c>
      <c r="D161" s="340" t="s">
        <v>371</v>
      </c>
      <c r="E161" s="155">
        <v>554.22</v>
      </c>
      <c r="F161" s="158" t="s">
        <v>262</v>
      </c>
      <c r="G161" s="340" t="s">
        <v>263</v>
      </c>
      <c r="H161" s="154" t="s">
        <v>294</v>
      </c>
      <c r="I161" s="359" t="s">
        <v>370</v>
      </c>
      <c r="J161" s="51"/>
      <c r="K161" s="51"/>
      <c r="L161" s="51"/>
      <c r="M161" s="51"/>
    </row>
    <row r="162" spans="1:13" ht="35.25" customHeight="1" outlineLevel="2">
      <c r="A162" s="382">
        <v>117</v>
      </c>
      <c r="B162" s="377">
        <v>41766</v>
      </c>
      <c r="C162" s="152" t="s">
        <v>689</v>
      </c>
      <c r="D162" s="340" t="s">
        <v>599</v>
      </c>
      <c r="E162" s="155">
        <v>50</v>
      </c>
      <c r="F162" s="158" t="s">
        <v>262</v>
      </c>
      <c r="G162" s="340" t="s">
        <v>263</v>
      </c>
      <c r="H162" s="154" t="s">
        <v>294</v>
      </c>
      <c r="I162" s="359" t="s">
        <v>370</v>
      </c>
      <c r="J162" s="51"/>
      <c r="K162" s="51"/>
      <c r="L162" s="51"/>
      <c r="M162" s="51"/>
    </row>
    <row r="163" spans="1:13" ht="35.25" customHeight="1" outlineLevel="2">
      <c r="A163" s="382">
        <v>120</v>
      </c>
      <c r="B163" s="574">
        <v>41766</v>
      </c>
      <c r="C163" s="575" t="s">
        <v>757</v>
      </c>
      <c r="D163" s="576" t="s">
        <v>856</v>
      </c>
      <c r="E163" s="577">
        <v>500</v>
      </c>
      <c r="F163" s="578" t="s">
        <v>262</v>
      </c>
      <c r="G163" s="576" t="s">
        <v>263</v>
      </c>
      <c r="H163" s="562" t="s">
        <v>294</v>
      </c>
      <c r="I163" s="582" t="s">
        <v>751</v>
      </c>
      <c r="J163" s="51"/>
      <c r="K163" s="51"/>
      <c r="L163" s="51"/>
      <c r="M163" s="51"/>
    </row>
    <row r="164" spans="1:13" ht="35.25" customHeight="1" outlineLevel="2">
      <c r="A164" s="382">
        <v>121</v>
      </c>
      <c r="B164" s="574">
        <v>41766</v>
      </c>
      <c r="C164" s="575" t="s">
        <v>858</v>
      </c>
      <c r="D164" s="576" t="s">
        <v>857</v>
      </c>
      <c r="E164" s="577">
        <v>500</v>
      </c>
      <c r="F164" s="578" t="s">
        <v>262</v>
      </c>
      <c r="G164" s="576" t="s">
        <v>263</v>
      </c>
      <c r="H164" s="562" t="s">
        <v>294</v>
      </c>
      <c r="I164" s="582" t="s">
        <v>751</v>
      </c>
      <c r="J164" s="51"/>
      <c r="K164" s="51"/>
      <c r="L164" s="51"/>
      <c r="M164" s="51"/>
    </row>
    <row r="165" spans="1:13" ht="35.25" customHeight="1" outlineLevel="2">
      <c r="A165" s="382">
        <v>122</v>
      </c>
      <c r="B165" s="574">
        <v>41766</v>
      </c>
      <c r="C165" s="575" t="s">
        <v>860</v>
      </c>
      <c r="D165" s="576" t="s">
        <v>859</v>
      </c>
      <c r="E165" s="577">
        <v>500</v>
      </c>
      <c r="F165" s="578" t="s">
        <v>262</v>
      </c>
      <c r="G165" s="576" t="s">
        <v>263</v>
      </c>
      <c r="H165" s="562" t="s">
        <v>294</v>
      </c>
      <c r="I165" s="582" t="s">
        <v>751</v>
      </c>
      <c r="J165" s="51"/>
      <c r="K165" s="51"/>
      <c r="L165" s="51"/>
      <c r="M165" s="51"/>
    </row>
    <row r="166" spans="1:13" ht="35.25" customHeight="1" outlineLevel="2">
      <c r="A166" s="382">
        <v>123</v>
      </c>
      <c r="B166" s="574">
        <v>41766</v>
      </c>
      <c r="C166" s="575" t="s">
        <v>862</v>
      </c>
      <c r="D166" s="576" t="s">
        <v>861</v>
      </c>
      <c r="E166" s="577">
        <v>500</v>
      </c>
      <c r="F166" s="578" t="s">
        <v>262</v>
      </c>
      <c r="G166" s="576" t="s">
        <v>263</v>
      </c>
      <c r="H166" s="562" t="s">
        <v>294</v>
      </c>
      <c r="I166" s="582" t="s">
        <v>751</v>
      </c>
      <c r="J166" s="51"/>
      <c r="K166" s="51"/>
      <c r="L166" s="51"/>
      <c r="M166" s="51"/>
    </row>
    <row r="167" spans="1:13" ht="35.25" customHeight="1" outlineLevel="2">
      <c r="A167" s="382">
        <v>124</v>
      </c>
      <c r="B167" s="574">
        <v>41766</v>
      </c>
      <c r="C167" s="575" t="s">
        <v>864</v>
      </c>
      <c r="D167" s="576" t="s">
        <v>863</v>
      </c>
      <c r="E167" s="577">
        <v>500</v>
      </c>
      <c r="F167" s="578" t="s">
        <v>262</v>
      </c>
      <c r="G167" s="576" t="s">
        <v>263</v>
      </c>
      <c r="H167" s="562" t="s">
        <v>294</v>
      </c>
      <c r="I167" s="582" t="s">
        <v>751</v>
      </c>
      <c r="J167" s="51"/>
      <c r="K167" s="51"/>
      <c r="L167" s="51"/>
      <c r="M167" s="51"/>
    </row>
    <row r="168" spans="1:13" ht="35.25" customHeight="1" outlineLevel="2">
      <c r="A168" s="382">
        <v>125</v>
      </c>
      <c r="B168" s="574">
        <v>41766</v>
      </c>
      <c r="C168" s="575" t="s">
        <v>758</v>
      </c>
      <c r="D168" s="576" t="s">
        <v>865</v>
      </c>
      <c r="E168" s="577">
        <v>500</v>
      </c>
      <c r="F168" s="578" t="s">
        <v>262</v>
      </c>
      <c r="G168" s="576" t="s">
        <v>263</v>
      </c>
      <c r="H168" s="562" t="s">
        <v>294</v>
      </c>
      <c r="I168" s="582" t="s">
        <v>751</v>
      </c>
      <c r="J168" s="51"/>
      <c r="K168" s="51"/>
      <c r="L168" s="51"/>
      <c r="M168" s="51"/>
    </row>
    <row r="169" spans="1:13" ht="35.25" customHeight="1" outlineLevel="2">
      <c r="A169" s="382">
        <v>126</v>
      </c>
      <c r="B169" s="574">
        <v>41766</v>
      </c>
      <c r="C169" s="575" t="s">
        <v>867</v>
      </c>
      <c r="D169" s="576" t="s">
        <v>866</v>
      </c>
      <c r="E169" s="577">
        <v>500</v>
      </c>
      <c r="F169" s="578" t="s">
        <v>262</v>
      </c>
      <c r="G169" s="576" t="s">
        <v>263</v>
      </c>
      <c r="H169" s="562" t="s">
        <v>294</v>
      </c>
      <c r="I169" s="582" t="s">
        <v>751</v>
      </c>
      <c r="J169" s="51"/>
      <c r="K169" s="51"/>
      <c r="L169" s="51"/>
      <c r="M169" s="51"/>
    </row>
    <row r="170" spans="1:13" ht="35.25" customHeight="1" outlineLevel="2">
      <c r="A170" s="382">
        <v>127</v>
      </c>
      <c r="B170" s="574">
        <v>41766</v>
      </c>
      <c r="C170" s="575" t="s">
        <v>759</v>
      </c>
      <c r="D170" s="576" t="s">
        <v>868</v>
      </c>
      <c r="E170" s="577">
        <v>500</v>
      </c>
      <c r="F170" s="578" t="s">
        <v>262</v>
      </c>
      <c r="G170" s="576" t="s">
        <v>263</v>
      </c>
      <c r="H170" s="562" t="s">
        <v>294</v>
      </c>
      <c r="I170" s="582" t="s">
        <v>751</v>
      </c>
      <c r="J170" s="51"/>
      <c r="K170" s="51"/>
      <c r="L170" s="51"/>
      <c r="M170" s="51"/>
    </row>
    <row r="171" spans="1:13" ht="35.25" customHeight="1" outlineLevel="2">
      <c r="A171" s="382">
        <v>128</v>
      </c>
      <c r="B171" s="574">
        <v>41766</v>
      </c>
      <c r="C171" s="575" t="s">
        <v>760</v>
      </c>
      <c r="D171" s="576" t="s">
        <v>869</v>
      </c>
      <c r="E171" s="577">
        <v>500</v>
      </c>
      <c r="F171" s="578" t="s">
        <v>262</v>
      </c>
      <c r="G171" s="576" t="s">
        <v>263</v>
      </c>
      <c r="H171" s="562" t="s">
        <v>294</v>
      </c>
      <c r="I171" s="582" t="s">
        <v>751</v>
      </c>
      <c r="J171" s="51"/>
      <c r="K171" s="51"/>
      <c r="L171" s="51"/>
      <c r="M171" s="51"/>
    </row>
    <row r="172" spans="1:13" ht="35.25" customHeight="1" outlineLevel="2">
      <c r="A172" s="382">
        <v>129</v>
      </c>
      <c r="B172" s="574">
        <v>41766</v>
      </c>
      <c r="C172" s="575" t="s">
        <v>761</v>
      </c>
      <c r="D172" s="576" t="s">
        <v>870</v>
      </c>
      <c r="E172" s="577">
        <v>500</v>
      </c>
      <c r="F172" s="578" t="s">
        <v>262</v>
      </c>
      <c r="G172" s="576" t="s">
        <v>263</v>
      </c>
      <c r="H172" s="562" t="s">
        <v>294</v>
      </c>
      <c r="I172" s="582" t="s">
        <v>751</v>
      </c>
      <c r="J172" s="51"/>
      <c r="K172" s="51"/>
      <c r="L172" s="51"/>
      <c r="M172" s="51"/>
    </row>
    <row r="173" spans="1:13" ht="35.25" customHeight="1" outlineLevel="2">
      <c r="A173" s="382">
        <v>130</v>
      </c>
      <c r="B173" s="574">
        <v>41766</v>
      </c>
      <c r="C173" s="575" t="s">
        <v>762</v>
      </c>
      <c r="D173" s="576" t="s">
        <v>871</v>
      </c>
      <c r="E173" s="577">
        <v>140</v>
      </c>
      <c r="F173" s="578" t="s">
        <v>262</v>
      </c>
      <c r="G173" s="576" t="s">
        <v>263</v>
      </c>
      <c r="H173" s="562" t="s">
        <v>294</v>
      </c>
      <c r="I173" s="582" t="s">
        <v>751</v>
      </c>
      <c r="J173" s="51"/>
      <c r="K173" s="51"/>
      <c r="L173" s="51"/>
      <c r="M173" s="51"/>
    </row>
    <row r="174" spans="1:13" ht="35.25" customHeight="1" outlineLevel="2">
      <c r="A174" s="382">
        <v>131</v>
      </c>
      <c r="B174" s="574">
        <v>41766</v>
      </c>
      <c r="C174" s="575" t="s">
        <v>763</v>
      </c>
      <c r="D174" s="576" t="s">
        <v>872</v>
      </c>
      <c r="E174" s="577">
        <v>336.8</v>
      </c>
      <c r="F174" s="578" t="s">
        <v>262</v>
      </c>
      <c r="G174" s="576" t="s">
        <v>263</v>
      </c>
      <c r="H174" s="562" t="s">
        <v>294</v>
      </c>
      <c r="I174" s="582" t="s">
        <v>751</v>
      </c>
      <c r="J174" s="51"/>
      <c r="K174" s="51"/>
      <c r="L174" s="51"/>
      <c r="M174" s="51"/>
    </row>
    <row r="175" spans="1:13" ht="35.25" customHeight="1" outlineLevel="2">
      <c r="A175" s="382">
        <v>132</v>
      </c>
      <c r="B175" s="574">
        <v>41766</v>
      </c>
      <c r="C175" s="575" t="s">
        <v>764</v>
      </c>
      <c r="D175" s="576" t="s">
        <v>873</v>
      </c>
      <c r="E175" s="577">
        <v>561</v>
      </c>
      <c r="F175" s="578" t="s">
        <v>262</v>
      </c>
      <c r="G175" s="576" t="s">
        <v>263</v>
      </c>
      <c r="H175" s="562" t="s">
        <v>294</v>
      </c>
      <c r="I175" s="582" t="s">
        <v>751</v>
      </c>
      <c r="J175" s="51"/>
      <c r="K175" s="51"/>
      <c r="L175" s="51"/>
      <c r="M175" s="51"/>
    </row>
    <row r="176" spans="1:13" ht="35.25" customHeight="1" outlineLevel="2">
      <c r="A176" s="382">
        <v>133</v>
      </c>
      <c r="B176" s="574">
        <v>41766</v>
      </c>
      <c r="C176" s="575" t="s">
        <v>765</v>
      </c>
      <c r="D176" s="576" t="s">
        <v>874</v>
      </c>
      <c r="E176" s="577">
        <v>500</v>
      </c>
      <c r="F176" s="578" t="s">
        <v>262</v>
      </c>
      <c r="G176" s="576" t="s">
        <v>263</v>
      </c>
      <c r="H176" s="562" t="s">
        <v>294</v>
      </c>
      <c r="I176" s="582" t="s">
        <v>751</v>
      </c>
      <c r="J176" s="51"/>
      <c r="K176" s="51"/>
      <c r="L176" s="51"/>
      <c r="M176" s="51"/>
    </row>
    <row r="177" spans="1:13" ht="35.25" customHeight="1" outlineLevel="2">
      <c r="A177" s="382">
        <v>134</v>
      </c>
      <c r="B177" s="574">
        <v>41766</v>
      </c>
      <c r="C177" s="575" t="s">
        <v>766</v>
      </c>
      <c r="D177" s="576" t="s">
        <v>876</v>
      </c>
      <c r="E177" s="577">
        <v>500</v>
      </c>
      <c r="F177" s="578" t="s">
        <v>262</v>
      </c>
      <c r="G177" s="576" t="s">
        <v>263</v>
      </c>
      <c r="H177" s="562" t="s">
        <v>294</v>
      </c>
      <c r="I177" s="582" t="s">
        <v>751</v>
      </c>
      <c r="J177" s="51"/>
      <c r="K177" s="51"/>
      <c r="L177" s="51"/>
      <c r="M177" s="51"/>
    </row>
    <row r="178" spans="1:13" ht="35.25" customHeight="1" outlineLevel="2">
      <c r="A178" s="382">
        <v>135</v>
      </c>
      <c r="B178" s="574">
        <v>41766</v>
      </c>
      <c r="C178" s="575" t="s">
        <v>767</v>
      </c>
      <c r="D178" s="576" t="s">
        <v>875</v>
      </c>
      <c r="E178" s="577">
        <v>500</v>
      </c>
      <c r="F178" s="578" t="s">
        <v>262</v>
      </c>
      <c r="G178" s="576" t="s">
        <v>263</v>
      </c>
      <c r="H178" s="562" t="s">
        <v>294</v>
      </c>
      <c r="I178" s="582" t="s">
        <v>751</v>
      </c>
      <c r="J178" s="51"/>
      <c r="K178" s="51"/>
      <c r="L178" s="51"/>
      <c r="M178" s="51"/>
    </row>
    <row r="179" spans="1:13" ht="35.25" customHeight="1" outlineLevel="2">
      <c r="A179" s="382">
        <v>136</v>
      </c>
      <c r="B179" s="574">
        <v>41766</v>
      </c>
      <c r="C179" s="575" t="s">
        <v>768</v>
      </c>
      <c r="D179" s="576" t="s">
        <v>877</v>
      </c>
      <c r="E179" s="577">
        <v>500</v>
      </c>
      <c r="F179" s="578" t="s">
        <v>262</v>
      </c>
      <c r="G179" s="576" t="s">
        <v>263</v>
      </c>
      <c r="H179" s="562" t="s">
        <v>294</v>
      </c>
      <c r="I179" s="582" t="s">
        <v>751</v>
      </c>
      <c r="J179" s="51"/>
      <c r="K179" s="51"/>
      <c r="L179" s="51"/>
      <c r="M179" s="51"/>
    </row>
    <row r="180" spans="1:13" ht="35.25" customHeight="1" outlineLevel="2">
      <c r="A180" s="382">
        <v>137</v>
      </c>
      <c r="B180" s="574">
        <v>41766</v>
      </c>
      <c r="C180" s="575" t="s">
        <v>769</v>
      </c>
      <c r="D180" s="576" t="s">
        <v>878</v>
      </c>
      <c r="E180" s="577">
        <v>500</v>
      </c>
      <c r="F180" s="578" t="s">
        <v>262</v>
      </c>
      <c r="G180" s="576" t="s">
        <v>263</v>
      </c>
      <c r="H180" s="562" t="s">
        <v>294</v>
      </c>
      <c r="I180" s="582" t="s">
        <v>751</v>
      </c>
      <c r="J180" s="51"/>
      <c r="K180" s="51"/>
      <c r="L180" s="51"/>
      <c r="M180" s="51"/>
    </row>
    <row r="181" spans="1:13" ht="35.25" customHeight="1" outlineLevel="2">
      <c r="A181" s="382">
        <v>138</v>
      </c>
      <c r="B181" s="574">
        <v>41766</v>
      </c>
      <c r="C181" s="575" t="s">
        <v>770</v>
      </c>
      <c r="D181" s="576" t="s">
        <v>879</v>
      </c>
      <c r="E181" s="577">
        <v>508.83</v>
      </c>
      <c r="F181" s="578" t="s">
        <v>262</v>
      </c>
      <c r="G181" s="576" t="s">
        <v>263</v>
      </c>
      <c r="H181" s="562" t="s">
        <v>294</v>
      </c>
      <c r="I181" s="582" t="s">
        <v>751</v>
      </c>
      <c r="J181" s="51"/>
      <c r="K181" s="51"/>
      <c r="L181" s="51"/>
      <c r="M181" s="51"/>
    </row>
    <row r="182" spans="1:13" ht="35.25" customHeight="1" outlineLevel="2">
      <c r="A182" s="382">
        <v>139</v>
      </c>
      <c r="B182" s="574">
        <v>41766</v>
      </c>
      <c r="C182" s="575" t="s">
        <v>771</v>
      </c>
      <c r="D182" s="576" t="s">
        <v>880</v>
      </c>
      <c r="E182" s="577">
        <v>500</v>
      </c>
      <c r="F182" s="578" t="s">
        <v>262</v>
      </c>
      <c r="G182" s="576" t="s">
        <v>263</v>
      </c>
      <c r="H182" s="562" t="s">
        <v>294</v>
      </c>
      <c r="I182" s="582" t="s">
        <v>751</v>
      </c>
      <c r="J182" s="51"/>
      <c r="K182" s="51"/>
      <c r="L182" s="51"/>
      <c r="M182" s="51"/>
    </row>
    <row r="183" spans="1:13" ht="35.25" customHeight="1" outlineLevel="2">
      <c r="A183" s="382">
        <v>140</v>
      </c>
      <c r="B183" s="574">
        <v>41766</v>
      </c>
      <c r="C183" s="575" t="s">
        <v>772</v>
      </c>
      <c r="D183" s="576" t="s">
        <v>881</v>
      </c>
      <c r="E183" s="577">
        <v>500</v>
      </c>
      <c r="F183" s="578" t="s">
        <v>262</v>
      </c>
      <c r="G183" s="576" t="s">
        <v>263</v>
      </c>
      <c r="H183" s="562" t="s">
        <v>294</v>
      </c>
      <c r="I183" s="582" t="s">
        <v>751</v>
      </c>
      <c r="J183" s="51"/>
      <c r="K183" s="51"/>
      <c r="L183" s="51"/>
      <c r="M183" s="51"/>
    </row>
    <row r="184" spans="1:13" ht="35.25" customHeight="1" outlineLevel="2">
      <c r="A184" s="382">
        <v>141</v>
      </c>
      <c r="B184" s="574">
        <v>41766</v>
      </c>
      <c r="C184" s="575" t="s">
        <v>773</v>
      </c>
      <c r="D184" s="576" t="s">
        <v>882</v>
      </c>
      <c r="E184" s="577">
        <v>500</v>
      </c>
      <c r="F184" s="578" t="s">
        <v>262</v>
      </c>
      <c r="G184" s="576" t="s">
        <v>263</v>
      </c>
      <c r="H184" s="562" t="s">
        <v>294</v>
      </c>
      <c r="I184" s="582" t="s">
        <v>751</v>
      </c>
      <c r="J184" s="51"/>
      <c r="K184" s="51"/>
      <c r="L184" s="51"/>
      <c r="M184" s="51"/>
    </row>
    <row r="185" spans="1:13" ht="35.25" customHeight="1" outlineLevel="2">
      <c r="A185" s="382">
        <v>142</v>
      </c>
      <c r="B185" s="574">
        <v>41766</v>
      </c>
      <c r="C185" s="575" t="s">
        <v>774</v>
      </c>
      <c r="D185" s="576" t="s">
        <v>883</v>
      </c>
      <c r="E185" s="577">
        <v>500</v>
      </c>
      <c r="F185" s="578" t="s">
        <v>262</v>
      </c>
      <c r="G185" s="576" t="s">
        <v>263</v>
      </c>
      <c r="H185" s="562" t="s">
        <v>294</v>
      </c>
      <c r="I185" s="582" t="s">
        <v>751</v>
      </c>
      <c r="J185" s="51"/>
      <c r="K185" s="51"/>
      <c r="L185" s="51"/>
      <c r="M185" s="51"/>
    </row>
    <row r="186" spans="1:13" ht="35.25" customHeight="1" outlineLevel="2">
      <c r="A186" s="382">
        <v>143</v>
      </c>
      <c r="B186" s="574">
        <v>41766</v>
      </c>
      <c r="C186" s="575" t="s">
        <v>775</v>
      </c>
      <c r="D186" s="576" t="s">
        <v>884</v>
      </c>
      <c r="E186" s="577">
        <v>500</v>
      </c>
      <c r="F186" s="578" t="s">
        <v>262</v>
      </c>
      <c r="G186" s="576" t="s">
        <v>263</v>
      </c>
      <c r="H186" s="562" t="s">
        <v>294</v>
      </c>
      <c r="I186" s="582" t="s">
        <v>751</v>
      </c>
      <c r="J186" s="51"/>
      <c r="K186" s="51"/>
      <c r="L186" s="51"/>
      <c r="M186" s="51"/>
    </row>
    <row r="187" spans="1:13" ht="35.25" customHeight="1" outlineLevel="2">
      <c r="A187" s="382">
        <v>144</v>
      </c>
      <c r="B187" s="574">
        <v>41766</v>
      </c>
      <c r="C187" s="575" t="s">
        <v>776</v>
      </c>
      <c r="D187" s="576" t="s">
        <v>885</v>
      </c>
      <c r="E187" s="577">
        <v>500</v>
      </c>
      <c r="F187" s="578" t="s">
        <v>262</v>
      </c>
      <c r="G187" s="576" t="s">
        <v>263</v>
      </c>
      <c r="H187" s="562" t="s">
        <v>294</v>
      </c>
      <c r="I187" s="582" t="s">
        <v>751</v>
      </c>
      <c r="J187" s="51"/>
      <c r="K187" s="51"/>
      <c r="L187" s="51"/>
      <c r="M187" s="51"/>
    </row>
    <row r="188" spans="1:13" ht="35.25" customHeight="1" outlineLevel="2">
      <c r="A188" s="382">
        <v>145</v>
      </c>
      <c r="B188" s="563">
        <v>41766</v>
      </c>
      <c r="C188" s="564" t="s">
        <v>777</v>
      </c>
      <c r="D188" s="565" t="s">
        <v>886</v>
      </c>
      <c r="E188" s="566">
        <v>500</v>
      </c>
      <c r="F188" s="578" t="s">
        <v>262</v>
      </c>
      <c r="G188" s="568" t="s">
        <v>263</v>
      </c>
      <c r="H188" s="569" t="s">
        <v>294</v>
      </c>
      <c r="I188" s="568" t="s">
        <v>751</v>
      </c>
      <c r="J188" s="51"/>
      <c r="K188" s="51"/>
      <c r="L188" s="51"/>
      <c r="M188" s="51"/>
    </row>
    <row r="189" spans="1:13" ht="35.25" customHeight="1" outlineLevel="2">
      <c r="A189" s="382">
        <v>146</v>
      </c>
      <c r="B189" s="563">
        <v>41766</v>
      </c>
      <c r="C189" s="564" t="s">
        <v>778</v>
      </c>
      <c r="D189" s="565" t="s">
        <v>887</v>
      </c>
      <c r="E189" s="566">
        <v>500</v>
      </c>
      <c r="F189" s="578" t="s">
        <v>262</v>
      </c>
      <c r="G189" s="568" t="s">
        <v>263</v>
      </c>
      <c r="H189" s="569" t="s">
        <v>294</v>
      </c>
      <c r="I189" s="568" t="s">
        <v>751</v>
      </c>
      <c r="J189" s="51"/>
      <c r="K189" s="51"/>
      <c r="L189" s="51"/>
      <c r="M189" s="51"/>
    </row>
    <row r="190" spans="1:13" ht="35.25" customHeight="1" outlineLevel="2">
      <c r="A190" s="382">
        <v>147</v>
      </c>
      <c r="B190" s="563">
        <v>41766</v>
      </c>
      <c r="C190" s="564" t="s">
        <v>779</v>
      </c>
      <c r="D190" s="565" t="s">
        <v>888</v>
      </c>
      <c r="E190" s="566">
        <v>500</v>
      </c>
      <c r="F190" s="578" t="s">
        <v>262</v>
      </c>
      <c r="G190" s="568" t="s">
        <v>263</v>
      </c>
      <c r="H190" s="569" t="s">
        <v>294</v>
      </c>
      <c r="I190" s="568" t="s">
        <v>751</v>
      </c>
      <c r="J190" s="51"/>
      <c r="K190" s="51"/>
      <c r="L190" s="51"/>
      <c r="M190" s="51"/>
    </row>
    <row r="191" spans="1:13" ht="35.25" customHeight="1" outlineLevel="2">
      <c r="A191" s="382">
        <v>148</v>
      </c>
      <c r="B191" s="563">
        <v>41766</v>
      </c>
      <c r="C191" s="564" t="s">
        <v>780</v>
      </c>
      <c r="D191" s="565" t="s">
        <v>890</v>
      </c>
      <c r="E191" s="566">
        <v>500</v>
      </c>
      <c r="F191" s="578" t="s">
        <v>262</v>
      </c>
      <c r="G191" s="568" t="s">
        <v>263</v>
      </c>
      <c r="H191" s="569" t="s">
        <v>294</v>
      </c>
      <c r="I191" s="568" t="s">
        <v>751</v>
      </c>
      <c r="J191" s="51"/>
      <c r="K191" s="51"/>
      <c r="L191" s="51"/>
      <c r="M191" s="51"/>
    </row>
    <row r="192" spans="1:13" ht="35.25" customHeight="1" outlineLevel="2">
      <c r="A192" s="382">
        <v>150</v>
      </c>
      <c r="B192" s="563">
        <v>41767</v>
      </c>
      <c r="C192" s="564" t="s">
        <v>781</v>
      </c>
      <c r="D192" s="565" t="s">
        <v>889</v>
      </c>
      <c r="E192" s="566">
        <v>3060</v>
      </c>
      <c r="F192" s="567" t="s">
        <v>262</v>
      </c>
      <c r="G192" s="568" t="s">
        <v>263</v>
      </c>
      <c r="H192" s="569" t="s">
        <v>294</v>
      </c>
      <c r="I192" s="568" t="s">
        <v>751</v>
      </c>
      <c r="J192" s="51"/>
      <c r="K192" s="51"/>
      <c r="L192" s="51"/>
      <c r="M192" s="51"/>
    </row>
    <row r="193" spans="1:13" ht="35.25" customHeight="1" outlineLevel="2">
      <c r="A193" s="382">
        <v>151</v>
      </c>
      <c r="B193" s="563">
        <v>41767</v>
      </c>
      <c r="C193" s="564" t="s">
        <v>782</v>
      </c>
      <c r="D193" s="565" t="s">
        <v>891</v>
      </c>
      <c r="E193" s="566">
        <v>500</v>
      </c>
      <c r="F193" s="567" t="s">
        <v>262</v>
      </c>
      <c r="G193" s="568" t="s">
        <v>263</v>
      </c>
      <c r="H193" s="569" t="s">
        <v>294</v>
      </c>
      <c r="I193" s="568" t="s">
        <v>751</v>
      </c>
      <c r="J193" s="51"/>
      <c r="K193" s="51"/>
      <c r="L193" s="51"/>
      <c r="M193" s="51"/>
    </row>
    <row r="194" spans="1:13" ht="35.25" customHeight="1" outlineLevel="2">
      <c r="A194" s="382">
        <v>152</v>
      </c>
      <c r="B194" s="563">
        <v>41767</v>
      </c>
      <c r="C194" s="564" t="s">
        <v>783</v>
      </c>
      <c r="D194" s="565" t="s">
        <v>892</v>
      </c>
      <c r="E194" s="566">
        <v>500</v>
      </c>
      <c r="F194" s="567" t="s">
        <v>262</v>
      </c>
      <c r="G194" s="568" t="s">
        <v>263</v>
      </c>
      <c r="H194" s="569" t="s">
        <v>294</v>
      </c>
      <c r="I194" s="568" t="s">
        <v>751</v>
      </c>
      <c r="J194" s="51"/>
      <c r="K194" s="51"/>
      <c r="L194" s="51"/>
      <c r="M194" s="51"/>
    </row>
    <row r="195" spans="1:13" ht="35.25" customHeight="1" outlineLevel="2">
      <c r="A195" s="382">
        <v>153</v>
      </c>
      <c r="B195" s="563">
        <v>41767</v>
      </c>
      <c r="C195" s="564" t="s">
        <v>784</v>
      </c>
      <c r="D195" s="565" t="s">
        <v>893</v>
      </c>
      <c r="E195" s="566">
        <v>500</v>
      </c>
      <c r="F195" s="567" t="s">
        <v>262</v>
      </c>
      <c r="G195" s="568" t="s">
        <v>263</v>
      </c>
      <c r="H195" s="569" t="s">
        <v>294</v>
      </c>
      <c r="I195" s="568" t="s">
        <v>751</v>
      </c>
      <c r="J195" s="51"/>
      <c r="K195" s="51"/>
      <c r="L195" s="51"/>
      <c r="M195" s="51"/>
    </row>
    <row r="196" spans="1:13" ht="35.25" customHeight="1" outlineLevel="2">
      <c r="A196" s="382">
        <v>154</v>
      </c>
      <c r="B196" s="563">
        <v>41767</v>
      </c>
      <c r="C196" s="564" t="s">
        <v>785</v>
      </c>
      <c r="D196" s="565" t="s">
        <v>894</v>
      </c>
      <c r="E196" s="566">
        <v>500</v>
      </c>
      <c r="F196" s="567" t="s">
        <v>262</v>
      </c>
      <c r="G196" s="568" t="s">
        <v>263</v>
      </c>
      <c r="H196" s="569" t="s">
        <v>294</v>
      </c>
      <c r="I196" s="568" t="s">
        <v>751</v>
      </c>
      <c r="J196" s="51"/>
      <c r="K196" s="51"/>
      <c r="L196" s="51"/>
      <c r="M196" s="51"/>
    </row>
    <row r="197" spans="1:13" ht="35.25" customHeight="1" outlineLevel="2">
      <c r="A197" s="382">
        <v>155</v>
      </c>
      <c r="B197" s="563">
        <v>41767</v>
      </c>
      <c r="C197" s="564" t="s">
        <v>786</v>
      </c>
      <c r="D197" s="565" t="s">
        <v>895</v>
      </c>
      <c r="E197" s="566">
        <v>500</v>
      </c>
      <c r="F197" s="567" t="s">
        <v>262</v>
      </c>
      <c r="G197" s="568" t="s">
        <v>263</v>
      </c>
      <c r="H197" s="569" t="s">
        <v>294</v>
      </c>
      <c r="I197" s="568" t="s">
        <v>751</v>
      </c>
      <c r="J197" s="51"/>
      <c r="K197" s="51"/>
      <c r="L197" s="51"/>
      <c r="M197" s="51"/>
    </row>
    <row r="198" spans="1:13" ht="35.25" customHeight="1" outlineLevel="2">
      <c r="A198" s="382">
        <v>156</v>
      </c>
      <c r="B198" s="563">
        <v>41767</v>
      </c>
      <c r="C198" s="564" t="s">
        <v>787</v>
      </c>
      <c r="D198" s="565" t="s">
        <v>896</v>
      </c>
      <c r="E198" s="566">
        <v>500</v>
      </c>
      <c r="F198" s="567" t="s">
        <v>262</v>
      </c>
      <c r="G198" s="568" t="s">
        <v>263</v>
      </c>
      <c r="H198" s="569" t="s">
        <v>294</v>
      </c>
      <c r="I198" s="568" t="s">
        <v>751</v>
      </c>
      <c r="J198" s="51"/>
      <c r="K198" s="51"/>
      <c r="L198" s="51"/>
      <c r="M198" s="51"/>
    </row>
    <row r="199" spans="1:9" s="188" customFormat="1" ht="35.25" customHeight="1" outlineLevel="2">
      <c r="A199" s="382">
        <v>157</v>
      </c>
      <c r="B199" s="563">
        <v>41767</v>
      </c>
      <c r="C199" s="564" t="s">
        <v>788</v>
      </c>
      <c r="D199" s="565" t="s">
        <v>897</v>
      </c>
      <c r="E199" s="566">
        <v>500</v>
      </c>
      <c r="F199" s="567" t="s">
        <v>262</v>
      </c>
      <c r="G199" s="568" t="s">
        <v>263</v>
      </c>
      <c r="H199" s="569" t="s">
        <v>294</v>
      </c>
      <c r="I199" s="568" t="s">
        <v>751</v>
      </c>
    </row>
    <row r="200" spans="1:13" ht="35.25" customHeight="1" outlineLevel="2">
      <c r="A200" s="382">
        <v>158</v>
      </c>
      <c r="B200" s="563">
        <v>41767</v>
      </c>
      <c r="C200" s="564" t="s">
        <v>789</v>
      </c>
      <c r="D200" s="565" t="s">
        <v>898</v>
      </c>
      <c r="E200" s="566">
        <v>500</v>
      </c>
      <c r="F200" s="567" t="s">
        <v>262</v>
      </c>
      <c r="G200" s="568" t="s">
        <v>263</v>
      </c>
      <c r="H200" s="569" t="s">
        <v>294</v>
      </c>
      <c r="I200" s="568" t="s">
        <v>751</v>
      </c>
      <c r="J200" s="51"/>
      <c r="K200" s="51"/>
      <c r="L200" s="51"/>
      <c r="M200" s="51"/>
    </row>
    <row r="201" spans="1:13" ht="35.25" customHeight="1" outlineLevel="2" thickBot="1">
      <c r="A201" s="382">
        <v>159</v>
      </c>
      <c r="B201" s="563">
        <v>41767</v>
      </c>
      <c r="C201" s="564" t="s">
        <v>790</v>
      </c>
      <c r="D201" s="565" t="s">
        <v>899</v>
      </c>
      <c r="E201" s="566">
        <v>420</v>
      </c>
      <c r="F201" s="567" t="s">
        <v>262</v>
      </c>
      <c r="G201" s="568" t="s">
        <v>263</v>
      </c>
      <c r="H201" s="569" t="s">
        <v>294</v>
      </c>
      <c r="I201" s="568" t="s">
        <v>751</v>
      </c>
      <c r="J201" s="51"/>
      <c r="K201" s="51"/>
      <c r="L201" s="51"/>
      <c r="M201" s="51"/>
    </row>
    <row r="202" spans="1:13" ht="35.25" customHeight="1" outlineLevel="2" thickTop="1">
      <c r="A202" s="382">
        <v>160</v>
      </c>
      <c r="B202" s="563">
        <v>41767</v>
      </c>
      <c r="C202" s="564" t="s">
        <v>791</v>
      </c>
      <c r="D202" s="565" t="s">
        <v>900</v>
      </c>
      <c r="E202" s="566">
        <v>508.83</v>
      </c>
      <c r="F202" s="647" t="s">
        <v>262</v>
      </c>
      <c r="G202" s="648" t="s">
        <v>263</v>
      </c>
      <c r="H202" s="569" t="s">
        <v>294</v>
      </c>
      <c r="I202" s="568" t="s">
        <v>751</v>
      </c>
      <c r="J202" s="51"/>
      <c r="K202" s="51"/>
      <c r="L202" s="51"/>
      <c r="M202" s="51"/>
    </row>
    <row r="203" spans="1:13" ht="35.25" customHeight="1" outlineLevel="2">
      <c r="A203" s="382">
        <v>161</v>
      </c>
      <c r="B203" s="563">
        <v>41767</v>
      </c>
      <c r="C203" s="564" t="s">
        <v>792</v>
      </c>
      <c r="D203" s="565" t="s">
        <v>901</v>
      </c>
      <c r="E203" s="566">
        <v>500</v>
      </c>
      <c r="F203" s="567" t="s">
        <v>262</v>
      </c>
      <c r="G203" s="568" t="s">
        <v>263</v>
      </c>
      <c r="H203" s="569" t="s">
        <v>294</v>
      </c>
      <c r="I203" s="568" t="s">
        <v>751</v>
      </c>
      <c r="J203" s="51"/>
      <c r="K203" s="51"/>
      <c r="L203" s="51"/>
      <c r="M203" s="51"/>
    </row>
    <row r="204" spans="1:13" ht="35.25" customHeight="1" outlineLevel="2">
      <c r="A204" s="382">
        <v>162</v>
      </c>
      <c r="B204" s="563">
        <v>41767</v>
      </c>
      <c r="C204" s="564" t="s">
        <v>793</v>
      </c>
      <c r="D204" s="565" t="s">
        <v>902</v>
      </c>
      <c r="E204" s="566">
        <v>790.69</v>
      </c>
      <c r="F204" s="567" t="s">
        <v>262</v>
      </c>
      <c r="G204" s="568" t="s">
        <v>263</v>
      </c>
      <c r="H204" s="569" t="s">
        <v>294</v>
      </c>
      <c r="I204" s="568" t="s">
        <v>751</v>
      </c>
      <c r="J204" s="51"/>
      <c r="K204" s="51"/>
      <c r="L204" s="51"/>
      <c r="M204" s="51"/>
    </row>
    <row r="205" spans="1:13" ht="35.25" customHeight="1" outlineLevel="2">
      <c r="A205" s="382">
        <v>163</v>
      </c>
      <c r="B205" s="563">
        <v>41767</v>
      </c>
      <c r="C205" s="564" t="s">
        <v>794</v>
      </c>
      <c r="D205" s="565" t="s">
        <v>903</v>
      </c>
      <c r="E205" s="566">
        <v>495.8</v>
      </c>
      <c r="F205" s="567" t="s">
        <v>262</v>
      </c>
      <c r="G205" s="568" t="s">
        <v>263</v>
      </c>
      <c r="H205" s="569" t="s">
        <v>294</v>
      </c>
      <c r="I205" s="568" t="s">
        <v>751</v>
      </c>
      <c r="J205" s="51"/>
      <c r="K205" s="51"/>
      <c r="L205" s="51"/>
      <c r="M205" s="51"/>
    </row>
    <row r="206" spans="1:13" ht="35.25" customHeight="1" outlineLevel="2">
      <c r="A206" s="382">
        <v>164</v>
      </c>
      <c r="B206" s="563">
        <v>41767</v>
      </c>
      <c r="C206" s="564" t="s">
        <v>795</v>
      </c>
      <c r="D206" s="565" t="s">
        <v>904</v>
      </c>
      <c r="E206" s="566">
        <v>1502.49</v>
      </c>
      <c r="F206" s="567" t="s">
        <v>262</v>
      </c>
      <c r="G206" s="568" t="s">
        <v>263</v>
      </c>
      <c r="H206" s="569" t="s">
        <v>294</v>
      </c>
      <c r="I206" s="568" t="s">
        <v>751</v>
      </c>
      <c r="J206" s="51"/>
      <c r="K206" s="51"/>
      <c r="L206" s="51"/>
      <c r="M206" s="51"/>
    </row>
    <row r="207" spans="1:13" ht="35.25" customHeight="1" outlineLevel="2">
      <c r="A207" s="382">
        <v>165</v>
      </c>
      <c r="B207" s="563">
        <v>41767</v>
      </c>
      <c r="C207" s="564" t="s">
        <v>796</v>
      </c>
      <c r="D207" s="565" t="s">
        <v>880</v>
      </c>
      <c r="E207" s="566">
        <v>530.38</v>
      </c>
      <c r="F207" s="567" t="s">
        <v>262</v>
      </c>
      <c r="G207" s="568" t="s">
        <v>263</v>
      </c>
      <c r="H207" s="569" t="s">
        <v>294</v>
      </c>
      <c r="I207" s="568" t="s">
        <v>751</v>
      </c>
      <c r="J207" s="51"/>
      <c r="K207" s="51"/>
      <c r="L207" s="51"/>
      <c r="M207" s="51"/>
    </row>
    <row r="208" spans="1:13" ht="35.25" customHeight="1" outlineLevel="2">
      <c r="A208" s="382">
        <v>166</v>
      </c>
      <c r="B208" s="563">
        <v>41767</v>
      </c>
      <c r="C208" s="564" t="s">
        <v>797</v>
      </c>
      <c r="D208" s="565" t="s">
        <v>905</v>
      </c>
      <c r="E208" s="566">
        <v>580</v>
      </c>
      <c r="F208" s="567" t="s">
        <v>262</v>
      </c>
      <c r="G208" s="568" t="s">
        <v>263</v>
      </c>
      <c r="H208" s="569" t="s">
        <v>294</v>
      </c>
      <c r="I208" s="568" t="s">
        <v>751</v>
      </c>
      <c r="J208" s="51"/>
      <c r="K208" s="51"/>
      <c r="L208" s="51"/>
      <c r="M208" s="51"/>
    </row>
    <row r="209" spans="1:13" ht="35.25" customHeight="1" outlineLevel="2">
      <c r="A209" s="382">
        <v>167</v>
      </c>
      <c r="B209" s="563">
        <v>41767</v>
      </c>
      <c r="C209" s="564" t="s">
        <v>798</v>
      </c>
      <c r="D209" s="565" t="s">
        <v>906</v>
      </c>
      <c r="E209" s="566">
        <v>686.51</v>
      </c>
      <c r="F209" s="567" t="s">
        <v>262</v>
      </c>
      <c r="G209" s="568" t="s">
        <v>263</v>
      </c>
      <c r="H209" s="569" t="s">
        <v>294</v>
      </c>
      <c r="I209" s="568" t="s">
        <v>751</v>
      </c>
      <c r="J209" s="51"/>
      <c r="K209" s="51"/>
      <c r="L209" s="51"/>
      <c r="M209" s="51"/>
    </row>
    <row r="210" spans="1:13" ht="35.25" customHeight="1" outlineLevel="2">
      <c r="A210" s="382">
        <v>168</v>
      </c>
      <c r="B210" s="563">
        <v>41768</v>
      </c>
      <c r="C210" s="564" t="s">
        <v>799</v>
      </c>
      <c r="D210" s="565" t="s">
        <v>907</v>
      </c>
      <c r="E210" s="566">
        <v>500</v>
      </c>
      <c r="F210" s="567" t="s">
        <v>262</v>
      </c>
      <c r="G210" s="568" t="s">
        <v>263</v>
      </c>
      <c r="H210" s="569" t="s">
        <v>294</v>
      </c>
      <c r="I210" s="568" t="s">
        <v>751</v>
      </c>
      <c r="J210" s="51"/>
      <c r="K210" s="51"/>
      <c r="L210" s="51"/>
      <c r="M210" s="51"/>
    </row>
    <row r="211" spans="1:13" ht="35.25" customHeight="1" outlineLevel="2">
      <c r="A211" s="382">
        <v>169</v>
      </c>
      <c r="B211" s="563">
        <v>41768</v>
      </c>
      <c r="C211" s="564" t="s">
        <v>800</v>
      </c>
      <c r="D211" s="565" t="s">
        <v>908</v>
      </c>
      <c r="E211" s="566">
        <v>500</v>
      </c>
      <c r="F211" s="567" t="s">
        <v>262</v>
      </c>
      <c r="G211" s="568" t="s">
        <v>263</v>
      </c>
      <c r="H211" s="569" t="s">
        <v>294</v>
      </c>
      <c r="I211" s="568" t="s">
        <v>751</v>
      </c>
      <c r="J211" s="51"/>
      <c r="K211" s="51"/>
      <c r="L211" s="51"/>
      <c r="M211" s="51"/>
    </row>
    <row r="212" spans="1:13" ht="35.25" customHeight="1" outlineLevel="2">
      <c r="A212" s="382">
        <v>170</v>
      </c>
      <c r="B212" s="563">
        <v>41768</v>
      </c>
      <c r="C212" s="564" t="s">
        <v>801</v>
      </c>
      <c r="D212" s="565" t="s">
        <v>897</v>
      </c>
      <c r="E212" s="566">
        <v>1161</v>
      </c>
      <c r="F212" s="567" t="s">
        <v>262</v>
      </c>
      <c r="G212" s="568" t="s">
        <v>263</v>
      </c>
      <c r="H212" s="569" t="s">
        <v>294</v>
      </c>
      <c r="I212" s="568" t="s">
        <v>751</v>
      </c>
      <c r="J212" s="51"/>
      <c r="K212" s="51"/>
      <c r="L212" s="51"/>
      <c r="M212" s="51"/>
    </row>
    <row r="213" spans="1:13" ht="35.25" customHeight="1" outlineLevel="2">
      <c r="A213" s="382">
        <v>171</v>
      </c>
      <c r="B213" s="563">
        <v>41768</v>
      </c>
      <c r="C213" s="564" t="s">
        <v>802</v>
      </c>
      <c r="D213" s="565" t="s">
        <v>909</v>
      </c>
      <c r="E213" s="566">
        <v>2234.19</v>
      </c>
      <c r="F213" s="567" t="s">
        <v>262</v>
      </c>
      <c r="G213" s="568" t="s">
        <v>263</v>
      </c>
      <c r="H213" s="569" t="s">
        <v>294</v>
      </c>
      <c r="I213" s="568" t="s">
        <v>751</v>
      </c>
      <c r="J213" s="51"/>
      <c r="K213" s="51"/>
      <c r="L213" s="51"/>
      <c r="M213" s="51"/>
    </row>
    <row r="214" spans="1:13" ht="35.25" customHeight="1" outlineLevel="2">
      <c r="A214" s="382">
        <v>172</v>
      </c>
      <c r="B214" s="563">
        <v>41768</v>
      </c>
      <c r="C214" s="564" t="s">
        <v>803</v>
      </c>
      <c r="D214" s="565" t="s">
        <v>910</v>
      </c>
      <c r="E214" s="566">
        <v>721.37</v>
      </c>
      <c r="F214" s="567" t="s">
        <v>262</v>
      </c>
      <c r="G214" s="568" t="s">
        <v>263</v>
      </c>
      <c r="H214" s="569" t="s">
        <v>294</v>
      </c>
      <c r="I214" s="568" t="s">
        <v>751</v>
      </c>
      <c r="J214" s="51"/>
      <c r="K214" s="51"/>
      <c r="L214" s="51"/>
      <c r="M214" s="51"/>
    </row>
    <row r="215" spans="1:13" ht="35.25" customHeight="1" outlineLevel="2">
      <c r="A215" s="382">
        <v>173</v>
      </c>
      <c r="B215" s="563">
        <v>41768</v>
      </c>
      <c r="C215" s="564" t="s">
        <v>804</v>
      </c>
      <c r="D215" s="565" t="s">
        <v>911</v>
      </c>
      <c r="E215" s="566">
        <v>488.3</v>
      </c>
      <c r="F215" s="567" t="s">
        <v>262</v>
      </c>
      <c r="G215" s="568" t="s">
        <v>263</v>
      </c>
      <c r="H215" s="569" t="s">
        <v>294</v>
      </c>
      <c r="I215" s="568" t="s">
        <v>751</v>
      </c>
      <c r="J215" s="51"/>
      <c r="K215" s="51"/>
      <c r="L215" s="51"/>
      <c r="M215" s="51"/>
    </row>
    <row r="216" spans="1:13" ht="35.25" customHeight="1" outlineLevel="2">
      <c r="A216" s="382">
        <v>174</v>
      </c>
      <c r="B216" s="563">
        <v>41771</v>
      </c>
      <c r="C216" s="564" t="s">
        <v>805</v>
      </c>
      <c r="D216" s="565" t="s">
        <v>912</v>
      </c>
      <c r="E216" s="566">
        <v>500</v>
      </c>
      <c r="F216" s="567" t="s">
        <v>262</v>
      </c>
      <c r="G216" s="568" t="s">
        <v>263</v>
      </c>
      <c r="H216" s="569" t="s">
        <v>294</v>
      </c>
      <c r="I216" s="568" t="s">
        <v>751</v>
      </c>
      <c r="J216" s="51"/>
      <c r="K216" s="51"/>
      <c r="L216" s="51"/>
      <c r="M216" s="51"/>
    </row>
    <row r="217" spans="1:13" ht="35.25" customHeight="1" outlineLevel="2">
      <c r="A217" s="382">
        <v>175</v>
      </c>
      <c r="B217" s="563">
        <v>41771</v>
      </c>
      <c r="C217" s="564" t="s">
        <v>806</v>
      </c>
      <c r="D217" s="565" t="s">
        <v>913</v>
      </c>
      <c r="E217" s="566">
        <v>500</v>
      </c>
      <c r="F217" s="567" t="s">
        <v>262</v>
      </c>
      <c r="G217" s="568" t="s">
        <v>263</v>
      </c>
      <c r="H217" s="569" t="s">
        <v>294</v>
      </c>
      <c r="I217" s="568" t="s">
        <v>751</v>
      </c>
      <c r="J217" s="51"/>
      <c r="K217" s="51"/>
      <c r="L217" s="51"/>
      <c r="M217" s="51"/>
    </row>
    <row r="218" spans="1:13" ht="35.25" customHeight="1" outlineLevel="2">
      <c r="A218" s="382">
        <v>184</v>
      </c>
      <c r="B218" s="563">
        <v>41775</v>
      </c>
      <c r="C218" s="564" t="s">
        <v>807</v>
      </c>
      <c r="D218" s="565" t="s">
        <v>299</v>
      </c>
      <c r="E218" s="566">
        <v>1265</v>
      </c>
      <c r="F218" s="567" t="s">
        <v>262</v>
      </c>
      <c r="G218" s="568" t="s">
        <v>263</v>
      </c>
      <c r="H218" s="569" t="s">
        <v>294</v>
      </c>
      <c r="I218" s="568" t="s">
        <v>751</v>
      </c>
      <c r="J218" s="51"/>
      <c r="K218" s="51"/>
      <c r="L218" s="51"/>
      <c r="M218" s="51"/>
    </row>
    <row r="219" spans="1:13" ht="35.25" customHeight="1" outlineLevel="2" thickBot="1">
      <c r="A219" s="382">
        <v>187</v>
      </c>
      <c r="B219" s="559">
        <v>41792</v>
      </c>
      <c r="C219" s="241" t="s">
        <v>503</v>
      </c>
      <c r="D219" s="403" t="s">
        <v>372</v>
      </c>
      <c r="E219" s="243">
        <v>139.21</v>
      </c>
      <c r="F219" s="560" t="s">
        <v>262</v>
      </c>
      <c r="G219" s="561" t="s">
        <v>263</v>
      </c>
      <c r="H219" s="242" t="s">
        <v>294</v>
      </c>
      <c r="I219" s="561" t="s">
        <v>298</v>
      </c>
      <c r="J219" s="51"/>
      <c r="K219" s="51"/>
      <c r="L219" s="51"/>
      <c r="M219" s="51"/>
    </row>
    <row r="220" spans="1:13" ht="35.25" customHeight="1" outlineLevel="2" thickTop="1">
      <c r="A220" s="382">
        <v>189</v>
      </c>
      <c r="B220" s="563">
        <v>41792</v>
      </c>
      <c r="C220" s="564" t="s">
        <v>808</v>
      </c>
      <c r="D220" s="565" t="s">
        <v>293</v>
      </c>
      <c r="E220" s="566">
        <v>6</v>
      </c>
      <c r="F220" s="647" t="s">
        <v>262</v>
      </c>
      <c r="G220" s="648" t="s">
        <v>263</v>
      </c>
      <c r="H220" s="569" t="s">
        <v>294</v>
      </c>
      <c r="I220" s="568" t="s">
        <v>751</v>
      </c>
      <c r="J220" s="51"/>
      <c r="K220" s="51"/>
      <c r="L220" s="51"/>
      <c r="M220" s="51"/>
    </row>
    <row r="221" spans="1:13" ht="35.25" customHeight="1" outlineLevel="2">
      <c r="A221" s="382">
        <v>196</v>
      </c>
      <c r="B221" s="563">
        <v>41806</v>
      </c>
      <c r="C221" s="564" t="s">
        <v>809</v>
      </c>
      <c r="D221" s="565" t="s">
        <v>296</v>
      </c>
      <c r="E221" s="566">
        <v>600</v>
      </c>
      <c r="F221" s="567" t="s">
        <v>262</v>
      </c>
      <c r="G221" s="568" t="s">
        <v>263</v>
      </c>
      <c r="H221" s="569" t="s">
        <v>294</v>
      </c>
      <c r="I221" s="568" t="s">
        <v>751</v>
      </c>
      <c r="J221" s="51"/>
      <c r="K221" s="51"/>
      <c r="L221" s="51"/>
      <c r="M221" s="51"/>
    </row>
    <row r="222" spans="1:13" ht="35.25" customHeight="1" outlineLevel="2">
      <c r="A222" s="382">
        <v>224</v>
      </c>
      <c r="B222" s="563">
        <v>41852</v>
      </c>
      <c r="C222" s="564" t="s">
        <v>811</v>
      </c>
      <c r="D222" s="565" t="s">
        <v>293</v>
      </c>
      <c r="E222" s="566">
        <v>6</v>
      </c>
      <c r="F222" s="578" t="s">
        <v>262</v>
      </c>
      <c r="G222" s="576" t="s">
        <v>263</v>
      </c>
      <c r="H222" s="569" t="s">
        <v>294</v>
      </c>
      <c r="I222" s="568" t="s">
        <v>751</v>
      </c>
      <c r="J222" s="51"/>
      <c r="K222" s="51"/>
      <c r="L222" s="51"/>
      <c r="M222" s="51"/>
    </row>
    <row r="223" spans="1:13" ht="35.25" customHeight="1" outlineLevel="2">
      <c r="A223" s="382">
        <v>239</v>
      </c>
      <c r="B223" s="559">
        <v>41883</v>
      </c>
      <c r="C223" s="241" t="s">
        <v>687</v>
      </c>
      <c r="D223" s="403" t="s">
        <v>372</v>
      </c>
      <c r="E223" s="243">
        <v>13</v>
      </c>
      <c r="F223" s="560" t="s">
        <v>262</v>
      </c>
      <c r="G223" s="561" t="s">
        <v>263</v>
      </c>
      <c r="H223" s="242" t="s">
        <v>294</v>
      </c>
      <c r="I223" s="561" t="s">
        <v>324</v>
      </c>
      <c r="J223" s="51"/>
      <c r="K223" s="51"/>
      <c r="L223" s="51"/>
      <c r="M223" s="51"/>
    </row>
    <row r="224" spans="1:13" ht="35.25" customHeight="1" outlineLevel="2">
      <c r="A224" s="382">
        <v>240</v>
      </c>
      <c r="B224" s="559">
        <v>41883</v>
      </c>
      <c r="C224" s="241" t="s">
        <v>688</v>
      </c>
      <c r="D224" s="403" t="s">
        <v>372</v>
      </c>
      <c r="E224" s="243">
        <v>14.63</v>
      </c>
      <c r="F224" s="560" t="s">
        <v>262</v>
      </c>
      <c r="G224" s="561" t="s">
        <v>263</v>
      </c>
      <c r="H224" s="242" t="s">
        <v>294</v>
      </c>
      <c r="I224" s="561" t="s">
        <v>298</v>
      </c>
      <c r="J224" s="51"/>
      <c r="K224" s="51"/>
      <c r="L224" s="51"/>
      <c r="M224" s="51"/>
    </row>
    <row r="225" spans="1:13" ht="35.25" customHeight="1" outlineLevel="2">
      <c r="A225" s="382">
        <v>244</v>
      </c>
      <c r="B225" s="563">
        <v>41883</v>
      </c>
      <c r="C225" s="564" t="s">
        <v>812</v>
      </c>
      <c r="D225" s="565" t="s">
        <v>293</v>
      </c>
      <c r="E225" s="566">
        <v>6</v>
      </c>
      <c r="F225" s="567" t="s">
        <v>262</v>
      </c>
      <c r="G225" s="568" t="s">
        <v>263</v>
      </c>
      <c r="H225" s="569" t="s">
        <v>294</v>
      </c>
      <c r="I225" s="568" t="s">
        <v>751</v>
      </c>
      <c r="J225" s="51"/>
      <c r="K225" s="51"/>
      <c r="L225" s="51"/>
      <c r="M225" s="51"/>
    </row>
    <row r="226" spans="1:13" ht="35.25" customHeight="1" outlineLevel="2">
      <c r="A226" s="382">
        <v>245</v>
      </c>
      <c r="B226" s="563">
        <v>41885</v>
      </c>
      <c r="C226" s="564" t="s">
        <v>813</v>
      </c>
      <c r="D226" s="565" t="s">
        <v>914</v>
      </c>
      <c r="E226" s="566">
        <v>500</v>
      </c>
      <c r="F226" s="567" t="s">
        <v>262</v>
      </c>
      <c r="G226" s="568" t="s">
        <v>263</v>
      </c>
      <c r="H226" s="569" t="s">
        <v>294</v>
      </c>
      <c r="I226" s="568" t="s">
        <v>751</v>
      </c>
      <c r="J226" s="51"/>
      <c r="K226" s="51"/>
      <c r="L226" s="51"/>
      <c r="M226" s="51"/>
    </row>
    <row r="227" spans="1:13" ht="35.25" customHeight="1" outlineLevel="2">
      <c r="A227" s="382">
        <v>246</v>
      </c>
      <c r="B227" s="563">
        <v>41885</v>
      </c>
      <c r="C227" s="564" t="s">
        <v>814</v>
      </c>
      <c r="D227" s="565" t="s">
        <v>838</v>
      </c>
      <c r="E227" s="566">
        <v>500</v>
      </c>
      <c r="F227" s="567" t="s">
        <v>262</v>
      </c>
      <c r="G227" s="568" t="s">
        <v>263</v>
      </c>
      <c r="H227" s="569" t="s">
        <v>294</v>
      </c>
      <c r="I227" s="568" t="s">
        <v>751</v>
      </c>
      <c r="J227" s="51"/>
      <c r="K227" s="51"/>
      <c r="L227" s="51"/>
      <c r="M227" s="51"/>
    </row>
    <row r="228" spans="1:13" ht="35.25" customHeight="1" outlineLevel="2">
      <c r="A228" s="382">
        <v>247</v>
      </c>
      <c r="B228" s="563">
        <v>41885</v>
      </c>
      <c r="C228" s="564" t="s">
        <v>815</v>
      </c>
      <c r="D228" s="565" t="s">
        <v>915</v>
      </c>
      <c r="E228" s="566">
        <v>914.9</v>
      </c>
      <c r="F228" s="567" t="s">
        <v>262</v>
      </c>
      <c r="G228" s="568" t="s">
        <v>263</v>
      </c>
      <c r="H228" s="569" t="s">
        <v>294</v>
      </c>
      <c r="I228" s="568" t="s">
        <v>751</v>
      </c>
      <c r="J228" s="51"/>
      <c r="K228" s="51"/>
      <c r="L228" s="51"/>
      <c r="M228" s="51"/>
    </row>
    <row r="229" spans="1:13" ht="35.25" customHeight="1" outlineLevel="2">
      <c r="A229" s="382">
        <v>248</v>
      </c>
      <c r="B229" s="563">
        <v>41885</v>
      </c>
      <c r="C229" s="564" t="s">
        <v>816</v>
      </c>
      <c r="D229" s="565" t="s">
        <v>916</v>
      </c>
      <c r="E229" s="566">
        <v>859.8</v>
      </c>
      <c r="F229" s="567" t="s">
        <v>262</v>
      </c>
      <c r="G229" s="568" t="s">
        <v>263</v>
      </c>
      <c r="H229" s="569" t="s">
        <v>294</v>
      </c>
      <c r="I229" s="568" t="s">
        <v>751</v>
      </c>
      <c r="J229" s="51"/>
      <c r="K229" s="51"/>
      <c r="L229" s="51"/>
      <c r="M229" s="51"/>
    </row>
    <row r="230" spans="1:13" ht="35.25" customHeight="1" outlineLevel="2">
      <c r="A230" s="382">
        <v>249</v>
      </c>
      <c r="B230" s="563">
        <v>41885</v>
      </c>
      <c r="C230" s="564" t="s">
        <v>817</v>
      </c>
      <c r="D230" s="565" t="s">
        <v>917</v>
      </c>
      <c r="E230" s="566">
        <v>2158.97</v>
      </c>
      <c r="F230" s="567" t="s">
        <v>262</v>
      </c>
      <c r="G230" s="568" t="s">
        <v>263</v>
      </c>
      <c r="H230" s="569" t="s">
        <v>294</v>
      </c>
      <c r="I230" s="568" t="s">
        <v>751</v>
      </c>
      <c r="J230" s="51"/>
      <c r="K230" s="51"/>
      <c r="L230" s="51"/>
      <c r="M230" s="51"/>
    </row>
    <row r="231" spans="1:13" ht="35.25" customHeight="1" outlineLevel="2">
      <c r="A231" s="382">
        <v>250</v>
      </c>
      <c r="B231" s="563">
        <v>41885</v>
      </c>
      <c r="C231" s="564" t="s">
        <v>818</v>
      </c>
      <c r="D231" s="565" t="s">
        <v>918</v>
      </c>
      <c r="E231" s="566">
        <v>1052.5</v>
      </c>
      <c r="F231" s="567" t="s">
        <v>262</v>
      </c>
      <c r="G231" s="568" t="s">
        <v>263</v>
      </c>
      <c r="H231" s="569" t="s">
        <v>294</v>
      </c>
      <c r="I231" s="568" t="s">
        <v>751</v>
      </c>
      <c r="J231" s="51"/>
      <c r="K231" s="51"/>
      <c r="L231" s="51"/>
      <c r="M231" s="51"/>
    </row>
    <row r="232" spans="1:13" ht="35.25" customHeight="1" outlineLevel="2">
      <c r="A232" s="382">
        <v>251</v>
      </c>
      <c r="B232" s="563">
        <v>41885</v>
      </c>
      <c r="C232" s="564" t="s">
        <v>819</v>
      </c>
      <c r="D232" s="565" t="s">
        <v>919</v>
      </c>
      <c r="E232" s="566">
        <v>876.73</v>
      </c>
      <c r="F232" s="567" t="s">
        <v>262</v>
      </c>
      <c r="G232" s="568" t="s">
        <v>263</v>
      </c>
      <c r="H232" s="569" t="s">
        <v>294</v>
      </c>
      <c r="I232" s="568" t="s">
        <v>751</v>
      </c>
      <c r="J232" s="51"/>
      <c r="K232" s="51"/>
      <c r="L232" s="51"/>
      <c r="M232" s="51"/>
    </row>
    <row r="233" spans="1:13" ht="35.25" customHeight="1" outlineLevel="2">
      <c r="A233" s="382">
        <v>252</v>
      </c>
      <c r="B233" s="563">
        <v>41885</v>
      </c>
      <c r="C233" s="564" t="s">
        <v>820</v>
      </c>
      <c r="D233" s="565" t="s">
        <v>838</v>
      </c>
      <c r="E233" s="566">
        <v>847.17</v>
      </c>
      <c r="F233" s="567" t="s">
        <v>262</v>
      </c>
      <c r="G233" s="568" t="s">
        <v>263</v>
      </c>
      <c r="H233" s="569" t="s">
        <v>294</v>
      </c>
      <c r="I233" s="568" t="s">
        <v>751</v>
      </c>
      <c r="J233" s="51"/>
      <c r="K233" s="51"/>
      <c r="L233" s="51"/>
      <c r="M233" s="51"/>
    </row>
    <row r="234" spans="1:13" ht="35.25" customHeight="1" outlineLevel="2">
      <c r="A234" s="382">
        <v>253</v>
      </c>
      <c r="B234" s="563">
        <v>41885</v>
      </c>
      <c r="C234" s="564" t="s">
        <v>821</v>
      </c>
      <c r="D234" s="565" t="s">
        <v>920</v>
      </c>
      <c r="E234" s="566">
        <v>968.43</v>
      </c>
      <c r="F234" s="567" t="s">
        <v>262</v>
      </c>
      <c r="G234" s="568" t="s">
        <v>263</v>
      </c>
      <c r="H234" s="569" t="s">
        <v>294</v>
      </c>
      <c r="I234" s="568" t="s">
        <v>751</v>
      </c>
      <c r="J234" s="51"/>
      <c r="K234" s="51"/>
      <c r="L234" s="51"/>
      <c r="M234" s="51"/>
    </row>
    <row r="235" spans="1:13" ht="35.25" customHeight="1" outlineLevel="2">
      <c r="A235" s="382">
        <v>254</v>
      </c>
      <c r="B235" s="563">
        <v>41885</v>
      </c>
      <c r="C235" s="564" t="s">
        <v>822</v>
      </c>
      <c r="D235" s="565" t="s">
        <v>921</v>
      </c>
      <c r="E235" s="566">
        <v>1038.81</v>
      </c>
      <c r="F235" s="567" t="s">
        <v>262</v>
      </c>
      <c r="G235" s="568" t="s">
        <v>263</v>
      </c>
      <c r="H235" s="569" t="s">
        <v>294</v>
      </c>
      <c r="I235" s="568" t="s">
        <v>751</v>
      </c>
      <c r="J235" s="51"/>
      <c r="K235" s="51"/>
      <c r="L235" s="51"/>
      <c r="M235" s="51"/>
    </row>
    <row r="236" spans="1:13" ht="35.25" customHeight="1" outlineLevel="2">
      <c r="A236" s="382">
        <v>255</v>
      </c>
      <c r="B236" s="563">
        <v>41885</v>
      </c>
      <c r="C236" s="564" t="s">
        <v>823</v>
      </c>
      <c r="D236" s="565" t="s">
        <v>857</v>
      </c>
      <c r="E236" s="566">
        <v>465.98</v>
      </c>
      <c r="F236" s="567" t="s">
        <v>262</v>
      </c>
      <c r="G236" s="568" t="s">
        <v>263</v>
      </c>
      <c r="H236" s="569" t="s">
        <v>294</v>
      </c>
      <c r="I236" s="568" t="s">
        <v>751</v>
      </c>
      <c r="J236" s="51"/>
      <c r="K236" s="51"/>
      <c r="L236" s="51"/>
      <c r="M236" s="51"/>
    </row>
    <row r="237" spans="1:13" ht="35.25" customHeight="1" outlineLevel="2">
      <c r="A237" s="382">
        <v>256</v>
      </c>
      <c r="B237" s="563">
        <v>41885</v>
      </c>
      <c r="C237" s="564" t="s">
        <v>824</v>
      </c>
      <c r="D237" s="565"/>
      <c r="E237" s="566">
        <v>818.04</v>
      </c>
      <c r="F237" s="567" t="s">
        <v>262</v>
      </c>
      <c r="G237" s="568" t="s">
        <v>263</v>
      </c>
      <c r="H237" s="569" t="s">
        <v>294</v>
      </c>
      <c r="I237" s="568" t="s">
        <v>751</v>
      </c>
      <c r="J237" s="51"/>
      <c r="K237" s="51"/>
      <c r="L237" s="51"/>
      <c r="M237" s="51"/>
    </row>
    <row r="238" spans="1:13" ht="35.25" customHeight="1" outlineLevel="2" thickBot="1">
      <c r="A238" s="382">
        <v>257</v>
      </c>
      <c r="B238" s="563">
        <v>41885</v>
      </c>
      <c r="C238" s="564" t="s">
        <v>825</v>
      </c>
      <c r="D238" s="565" t="s">
        <v>897</v>
      </c>
      <c r="E238" s="566">
        <v>672.92</v>
      </c>
      <c r="F238" s="567" t="s">
        <v>262</v>
      </c>
      <c r="G238" s="568" t="s">
        <v>263</v>
      </c>
      <c r="H238" s="569" t="s">
        <v>294</v>
      </c>
      <c r="I238" s="568" t="s">
        <v>751</v>
      </c>
      <c r="J238" s="51"/>
      <c r="K238" s="51"/>
      <c r="L238" s="51"/>
      <c r="M238" s="51"/>
    </row>
    <row r="239" spans="1:13" ht="35.25" customHeight="1" outlineLevel="2" thickTop="1">
      <c r="A239" s="382">
        <v>258</v>
      </c>
      <c r="B239" s="563">
        <v>41885</v>
      </c>
      <c r="C239" s="564" t="s">
        <v>826</v>
      </c>
      <c r="D239" s="565" t="s">
        <v>922</v>
      </c>
      <c r="E239" s="566">
        <v>895</v>
      </c>
      <c r="F239" s="647" t="s">
        <v>262</v>
      </c>
      <c r="G239" s="648" t="s">
        <v>263</v>
      </c>
      <c r="H239" s="569" t="s">
        <v>294</v>
      </c>
      <c r="I239" s="568" t="s">
        <v>751</v>
      </c>
      <c r="J239" s="51"/>
      <c r="K239" s="51"/>
      <c r="L239" s="51"/>
      <c r="M239" s="51"/>
    </row>
    <row r="240" spans="1:13" ht="35.25" customHeight="1" outlineLevel="2">
      <c r="A240" s="382">
        <v>259</v>
      </c>
      <c r="B240" s="563">
        <v>41885</v>
      </c>
      <c r="C240" s="564" t="s">
        <v>827</v>
      </c>
      <c r="D240" s="565" t="s">
        <v>923</v>
      </c>
      <c r="E240" s="566">
        <v>564.21</v>
      </c>
      <c r="F240" s="567" t="s">
        <v>262</v>
      </c>
      <c r="G240" s="568" t="s">
        <v>263</v>
      </c>
      <c r="H240" s="569" t="s">
        <v>294</v>
      </c>
      <c r="I240" s="568" t="s">
        <v>751</v>
      </c>
      <c r="J240" s="51"/>
      <c r="K240" s="51"/>
      <c r="L240" s="51"/>
      <c r="M240" s="51"/>
    </row>
    <row r="241" spans="1:13" ht="35.25" customHeight="1" outlineLevel="2" thickBot="1">
      <c r="A241" s="382">
        <v>260</v>
      </c>
      <c r="B241" s="563">
        <v>41885</v>
      </c>
      <c r="C241" s="564" t="s">
        <v>828</v>
      </c>
      <c r="D241" s="565" t="s">
        <v>924</v>
      </c>
      <c r="E241" s="566">
        <v>696.1</v>
      </c>
      <c r="F241" s="567" t="s">
        <v>262</v>
      </c>
      <c r="G241" s="568" t="s">
        <v>263</v>
      </c>
      <c r="H241" s="569" t="s">
        <v>294</v>
      </c>
      <c r="I241" s="568" t="s">
        <v>751</v>
      </c>
      <c r="J241" s="51"/>
      <c r="K241" s="51"/>
      <c r="L241" s="51"/>
      <c r="M241" s="51"/>
    </row>
    <row r="242" spans="1:13" ht="35.25" customHeight="1" outlineLevel="2" thickTop="1">
      <c r="A242" s="382">
        <v>261</v>
      </c>
      <c r="B242" s="563">
        <v>41885</v>
      </c>
      <c r="C242" s="564" t="s">
        <v>829</v>
      </c>
      <c r="D242" s="565" t="s">
        <v>925</v>
      </c>
      <c r="E242" s="566">
        <v>1000</v>
      </c>
      <c r="F242" s="647" t="s">
        <v>262</v>
      </c>
      <c r="G242" s="648" t="s">
        <v>263</v>
      </c>
      <c r="H242" s="569" t="s">
        <v>294</v>
      </c>
      <c r="I242" s="568" t="s">
        <v>751</v>
      </c>
      <c r="J242" s="51"/>
      <c r="K242" s="51"/>
      <c r="L242" s="51"/>
      <c r="M242" s="51"/>
    </row>
    <row r="243" spans="1:13" ht="35.25" customHeight="1" outlineLevel="2">
      <c r="A243" s="382">
        <v>262</v>
      </c>
      <c r="B243" s="563">
        <v>41885</v>
      </c>
      <c r="C243" s="564" t="s">
        <v>830</v>
      </c>
      <c r="D243" s="565" t="s">
        <v>926</v>
      </c>
      <c r="E243" s="566">
        <v>2260</v>
      </c>
      <c r="F243" s="567" t="s">
        <v>262</v>
      </c>
      <c r="G243" s="568" t="s">
        <v>263</v>
      </c>
      <c r="H243" s="569" t="s">
        <v>294</v>
      </c>
      <c r="I243" s="568" t="s">
        <v>751</v>
      </c>
      <c r="J243" s="51"/>
      <c r="K243" s="51"/>
      <c r="L243" s="51"/>
      <c r="M243" s="51"/>
    </row>
    <row r="244" spans="1:13" ht="35.25" customHeight="1" outlineLevel="2">
      <c r="A244" s="382">
        <v>263</v>
      </c>
      <c r="B244" s="563">
        <v>41885</v>
      </c>
      <c r="C244" s="564" t="s">
        <v>831</v>
      </c>
      <c r="D244" s="565" t="s">
        <v>927</v>
      </c>
      <c r="E244" s="566">
        <v>600</v>
      </c>
      <c r="F244" s="567" t="s">
        <v>262</v>
      </c>
      <c r="G244" s="568" t="s">
        <v>263</v>
      </c>
      <c r="H244" s="569" t="s">
        <v>294</v>
      </c>
      <c r="I244" s="568" t="s">
        <v>751</v>
      </c>
      <c r="J244" s="51"/>
      <c r="K244" s="51"/>
      <c r="L244" s="51"/>
      <c r="M244" s="51"/>
    </row>
    <row r="245" spans="1:13" ht="35.25" customHeight="1" outlineLevel="2">
      <c r="A245" s="382">
        <v>264</v>
      </c>
      <c r="B245" s="563">
        <v>41885</v>
      </c>
      <c r="C245" s="564" t="s">
        <v>832</v>
      </c>
      <c r="D245" s="565" t="s">
        <v>928</v>
      </c>
      <c r="E245" s="566">
        <v>800</v>
      </c>
      <c r="F245" s="567" t="s">
        <v>262</v>
      </c>
      <c r="G245" s="568" t="s">
        <v>263</v>
      </c>
      <c r="H245" s="569" t="s">
        <v>294</v>
      </c>
      <c r="I245" s="568" t="s">
        <v>751</v>
      </c>
      <c r="J245" s="51"/>
      <c r="K245" s="51"/>
      <c r="L245" s="51"/>
      <c r="M245" s="51"/>
    </row>
    <row r="246" spans="1:13" ht="35.25" customHeight="1" outlineLevel="2">
      <c r="A246" s="382">
        <v>266</v>
      </c>
      <c r="B246" s="563">
        <v>41894</v>
      </c>
      <c r="C246" s="564" t="s">
        <v>833</v>
      </c>
      <c r="D246" s="565" t="s">
        <v>284</v>
      </c>
      <c r="E246" s="566">
        <v>7500</v>
      </c>
      <c r="F246" s="567" t="s">
        <v>262</v>
      </c>
      <c r="G246" s="568" t="s">
        <v>263</v>
      </c>
      <c r="H246" s="569" t="s">
        <v>294</v>
      </c>
      <c r="I246" s="568" t="s">
        <v>751</v>
      </c>
      <c r="J246" s="51"/>
      <c r="K246" s="51"/>
      <c r="L246" s="51"/>
      <c r="M246" s="51"/>
    </row>
    <row r="247" spans="1:13" ht="35.25" customHeight="1" outlineLevel="2">
      <c r="A247" s="382">
        <v>269</v>
      </c>
      <c r="B247" s="559">
        <v>41899</v>
      </c>
      <c r="C247" s="241" t="s">
        <v>534</v>
      </c>
      <c r="D247" s="403" t="s">
        <v>325</v>
      </c>
      <c r="E247" s="243">
        <v>19549.15</v>
      </c>
      <c r="F247" s="560" t="s">
        <v>262</v>
      </c>
      <c r="G247" s="561" t="s">
        <v>263</v>
      </c>
      <c r="H247" s="242" t="s">
        <v>294</v>
      </c>
      <c r="I247" s="561" t="s">
        <v>324</v>
      </c>
      <c r="J247" s="51"/>
      <c r="K247" s="51"/>
      <c r="L247" s="51"/>
      <c r="M247" s="51"/>
    </row>
    <row r="248" spans="1:13" ht="35.25" customHeight="1" outlineLevel="2">
      <c r="A248" s="382">
        <v>270</v>
      </c>
      <c r="B248" s="559">
        <v>41899</v>
      </c>
      <c r="C248" s="241" t="s">
        <v>535</v>
      </c>
      <c r="D248" s="403" t="s">
        <v>542</v>
      </c>
      <c r="E248" s="243">
        <v>6410.66</v>
      </c>
      <c r="F248" s="560" t="s">
        <v>262</v>
      </c>
      <c r="G248" s="561" t="s">
        <v>263</v>
      </c>
      <c r="H248" s="242" t="s">
        <v>294</v>
      </c>
      <c r="I248" s="561" t="s">
        <v>324</v>
      </c>
      <c r="J248" s="51"/>
      <c r="K248" s="51"/>
      <c r="L248" s="51"/>
      <c r="M248" s="51"/>
    </row>
    <row r="249" spans="1:13" ht="35.25" customHeight="1" outlineLevel="2">
      <c r="A249" s="382">
        <v>271</v>
      </c>
      <c r="B249" s="559">
        <v>41899</v>
      </c>
      <c r="C249" s="241" t="s">
        <v>536</v>
      </c>
      <c r="D249" s="403" t="s">
        <v>380</v>
      </c>
      <c r="E249" s="243">
        <v>8292.77</v>
      </c>
      <c r="F249" s="560" t="s">
        <v>262</v>
      </c>
      <c r="G249" s="561" t="s">
        <v>263</v>
      </c>
      <c r="H249" s="242" t="s">
        <v>294</v>
      </c>
      <c r="I249" s="561" t="s">
        <v>324</v>
      </c>
      <c r="J249" s="51"/>
      <c r="K249" s="51"/>
      <c r="L249" s="51"/>
      <c r="M249" s="51"/>
    </row>
    <row r="250" spans="1:13" ht="35.25" customHeight="1" outlineLevel="2">
      <c r="A250" s="382">
        <v>272</v>
      </c>
      <c r="B250" s="559">
        <v>41899</v>
      </c>
      <c r="C250" s="241" t="s">
        <v>537</v>
      </c>
      <c r="D250" s="403" t="s">
        <v>327</v>
      </c>
      <c r="E250" s="243">
        <v>8641.35</v>
      </c>
      <c r="F250" s="560" t="s">
        <v>262</v>
      </c>
      <c r="G250" s="561" t="s">
        <v>263</v>
      </c>
      <c r="H250" s="242" t="s">
        <v>294</v>
      </c>
      <c r="I250" s="561" t="s">
        <v>324</v>
      </c>
      <c r="J250" s="51"/>
      <c r="K250" s="51"/>
      <c r="L250" s="51"/>
      <c r="M250" s="51"/>
    </row>
    <row r="251" spans="1:13" ht="35.25" customHeight="1" outlineLevel="2">
      <c r="A251" s="382">
        <v>273</v>
      </c>
      <c r="B251" s="559">
        <v>41899</v>
      </c>
      <c r="C251" s="241" t="s">
        <v>538</v>
      </c>
      <c r="D251" s="403" t="s">
        <v>543</v>
      </c>
      <c r="E251" s="243">
        <v>7120.15</v>
      </c>
      <c r="F251" s="560" t="s">
        <v>262</v>
      </c>
      <c r="G251" s="561" t="s">
        <v>263</v>
      </c>
      <c r="H251" s="242" t="s">
        <v>294</v>
      </c>
      <c r="I251" s="561" t="s">
        <v>324</v>
      </c>
      <c r="J251" s="51"/>
      <c r="K251" s="51"/>
      <c r="L251" s="51"/>
      <c r="M251" s="51"/>
    </row>
    <row r="252" spans="1:13" ht="35.25" customHeight="1" outlineLevel="2">
      <c r="A252" s="382">
        <v>274</v>
      </c>
      <c r="B252" s="559">
        <v>41899</v>
      </c>
      <c r="C252" s="241" t="s">
        <v>539</v>
      </c>
      <c r="D252" s="403" t="s">
        <v>326</v>
      </c>
      <c r="E252" s="243">
        <v>3153.75</v>
      </c>
      <c r="F252" s="560" t="s">
        <v>262</v>
      </c>
      <c r="G252" s="561" t="s">
        <v>263</v>
      </c>
      <c r="H252" s="242" t="s">
        <v>294</v>
      </c>
      <c r="I252" s="561" t="s">
        <v>324</v>
      </c>
      <c r="J252" s="51"/>
      <c r="K252" s="51"/>
      <c r="L252" s="51"/>
      <c r="M252" s="51"/>
    </row>
    <row r="253" spans="1:13" ht="35.25" customHeight="1" outlineLevel="2">
      <c r="A253" s="382">
        <v>277</v>
      </c>
      <c r="B253" s="563">
        <v>41912</v>
      </c>
      <c r="C253" s="564" t="s">
        <v>386</v>
      </c>
      <c r="D253" s="565" t="s">
        <v>293</v>
      </c>
      <c r="E253" s="566">
        <v>0.04</v>
      </c>
      <c r="F253" s="567" t="s">
        <v>262</v>
      </c>
      <c r="G253" s="568" t="s">
        <v>263</v>
      </c>
      <c r="H253" s="569" t="s">
        <v>294</v>
      </c>
      <c r="I253" s="568" t="s">
        <v>751</v>
      </c>
      <c r="J253" s="51"/>
      <c r="K253" s="51"/>
      <c r="L253" s="51"/>
      <c r="M253" s="51"/>
    </row>
    <row r="254" spans="1:13" ht="35.25" customHeight="1" outlineLevel="2">
      <c r="A254" s="382">
        <v>280</v>
      </c>
      <c r="B254" s="563">
        <v>41913</v>
      </c>
      <c r="C254" s="564" t="s">
        <v>983</v>
      </c>
      <c r="D254" s="565" t="s">
        <v>293</v>
      </c>
      <c r="E254" s="566">
        <v>6</v>
      </c>
      <c r="F254" s="567" t="s">
        <v>262</v>
      </c>
      <c r="G254" s="568" t="s">
        <v>263</v>
      </c>
      <c r="H254" s="569" t="s">
        <v>294</v>
      </c>
      <c r="I254" s="568" t="s">
        <v>751</v>
      </c>
      <c r="J254" s="51"/>
      <c r="K254" s="51"/>
      <c r="L254" s="51"/>
      <c r="M254" s="51"/>
    </row>
    <row r="255" spans="1:13" ht="35.25" customHeight="1" outlineLevel="2">
      <c r="A255" s="382">
        <v>281</v>
      </c>
      <c r="B255" s="563">
        <v>41913</v>
      </c>
      <c r="C255" s="564" t="s">
        <v>387</v>
      </c>
      <c r="D255" s="565" t="s">
        <v>293</v>
      </c>
      <c r="E255" s="566">
        <v>25.2</v>
      </c>
      <c r="F255" s="567" t="s">
        <v>262</v>
      </c>
      <c r="G255" s="568" t="s">
        <v>263</v>
      </c>
      <c r="H255" s="569" t="s">
        <v>294</v>
      </c>
      <c r="I255" s="568" t="s">
        <v>751</v>
      </c>
      <c r="J255" s="51"/>
      <c r="K255" s="51"/>
      <c r="L255" s="51"/>
      <c r="M255" s="51"/>
    </row>
    <row r="256" spans="1:13" ht="35.25" customHeight="1" outlineLevel="2">
      <c r="A256" s="382">
        <v>302</v>
      </c>
      <c r="B256" s="563">
        <v>41946</v>
      </c>
      <c r="C256" s="564" t="s">
        <v>979</v>
      </c>
      <c r="D256" s="565" t="s">
        <v>293</v>
      </c>
      <c r="E256" s="566">
        <v>6</v>
      </c>
      <c r="F256" s="567" t="s">
        <v>262</v>
      </c>
      <c r="G256" s="568" t="s">
        <v>263</v>
      </c>
      <c r="H256" s="569" t="s">
        <v>294</v>
      </c>
      <c r="I256" s="568" t="s">
        <v>751</v>
      </c>
      <c r="J256" s="51"/>
      <c r="K256" s="51"/>
      <c r="L256" s="51"/>
      <c r="M256" s="51"/>
    </row>
    <row r="257" spans="1:13" ht="35.25" customHeight="1" outlineLevel="2">
      <c r="A257" s="382">
        <v>315</v>
      </c>
      <c r="B257" s="563">
        <v>41974</v>
      </c>
      <c r="C257" s="564" t="s">
        <v>980</v>
      </c>
      <c r="D257" s="565" t="s">
        <v>293</v>
      </c>
      <c r="E257" s="566">
        <v>6</v>
      </c>
      <c r="F257" s="567" t="s">
        <v>262</v>
      </c>
      <c r="G257" s="568" t="s">
        <v>263</v>
      </c>
      <c r="H257" s="569" t="s">
        <v>294</v>
      </c>
      <c r="I257" s="568" t="s">
        <v>751</v>
      </c>
      <c r="J257" s="51"/>
      <c r="K257" s="51"/>
      <c r="L257" s="51"/>
      <c r="M257" s="51"/>
    </row>
    <row r="258" spans="1:13" ht="35.25" customHeight="1" outlineLevel="2">
      <c r="A258" s="382">
        <v>324</v>
      </c>
      <c r="B258" s="563">
        <v>41995</v>
      </c>
      <c r="C258" s="564" t="s">
        <v>981</v>
      </c>
      <c r="D258" s="565" t="s">
        <v>388</v>
      </c>
      <c r="E258" s="566">
        <v>65.5</v>
      </c>
      <c r="F258" s="567" t="s">
        <v>262</v>
      </c>
      <c r="G258" s="568" t="s">
        <v>263</v>
      </c>
      <c r="H258" s="569" t="s">
        <v>294</v>
      </c>
      <c r="I258" s="568" t="s">
        <v>751</v>
      </c>
      <c r="J258" s="51"/>
      <c r="K258" s="51"/>
      <c r="L258" s="51"/>
      <c r="M258" s="51"/>
    </row>
    <row r="259" spans="1:13" ht="35.25" customHeight="1" outlineLevel="2">
      <c r="A259" s="382">
        <v>336</v>
      </c>
      <c r="B259" s="559">
        <v>42004</v>
      </c>
      <c r="C259" s="241" t="s">
        <v>968</v>
      </c>
      <c r="D259" s="403" t="s">
        <v>333</v>
      </c>
      <c r="E259" s="243">
        <v>435.53</v>
      </c>
      <c r="F259" s="560" t="s">
        <v>262</v>
      </c>
      <c r="G259" s="561" t="s">
        <v>263</v>
      </c>
      <c r="H259" s="242"/>
      <c r="I259" s="561" t="s">
        <v>378</v>
      </c>
      <c r="J259" s="51"/>
      <c r="K259" s="51"/>
      <c r="L259" s="51"/>
      <c r="M259" s="51"/>
    </row>
    <row r="260" spans="1:13" ht="35.25" customHeight="1" outlineLevel="1">
      <c r="A260" s="382"/>
      <c r="B260" s="559"/>
      <c r="C260" s="241"/>
      <c r="D260" s="403"/>
      <c r="E260" s="243">
        <f>SUBTOTAL(9,E130:E259)</f>
        <v>162628.82000000004</v>
      </c>
      <c r="F260" s="639" t="s">
        <v>1051</v>
      </c>
      <c r="G260" s="561"/>
      <c r="H260" s="242"/>
      <c r="I260" s="561">
        <f>SUBTOTAL(9,I130:I259)</f>
        <v>0</v>
      </c>
      <c r="J260" s="51"/>
      <c r="K260" s="51"/>
      <c r="L260" s="51"/>
      <c r="M260" s="51"/>
    </row>
    <row r="261" spans="1:13" ht="35.25" customHeight="1" outlineLevel="2">
      <c r="A261" s="382">
        <v>22</v>
      </c>
      <c r="B261" s="596">
        <v>41655</v>
      </c>
      <c r="C261" s="241" t="s">
        <v>619</v>
      </c>
      <c r="D261" s="242" t="s">
        <v>296</v>
      </c>
      <c r="E261" s="615">
        <v>449.44</v>
      </c>
      <c r="F261" s="242" t="s">
        <v>79</v>
      </c>
      <c r="G261" s="580" t="s">
        <v>0</v>
      </c>
      <c r="H261" s="242" t="s">
        <v>294</v>
      </c>
      <c r="I261" s="580" t="s">
        <v>336</v>
      </c>
      <c r="J261" s="51"/>
      <c r="K261" s="51"/>
      <c r="L261" s="51"/>
      <c r="M261" s="51"/>
    </row>
    <row r="262" spans="1:13" ht="35.25" customHeight="1" outlineLevel="2">
      <c r="A262" s="382">
        <v>24</v>
      </c>
      <c r="B262" s="596">
        <v>41655</v>
      </c>
      <c r="C262" s="241" t="s">
        <v>621</v>
      </c>
      <c r="D262" s="242" t="s">
        <v>617</v>
      </c>
      <c r="E262" s="615">
        <v>337.12</v>
      </c>
      <c r="F262" s="242" t="s">
        <v>79</v>
      </c>
      <c r="G262" s="580" t="s">
        <v>0</v>
      </c>
      <c r="H262" s="242" t="s">
        <v>294</v>
      </c>
      <c r="I262" s="580" t="s">
        <v>336</v>
      </c>
      <c r="J262" s="51"/>
      <c r="K262" s="51"/>
      <c r="L262" s="51"/>
      <c r="M262" s="51"/>
    </row>
    <row r="263" spans="1:13" ht="35.25" customHeight="1" outlineLevel="2">
      <c r="A263" s="382">
        <v>25</v>
      </c>
      <c r="B263" s="596">
        <v>41655</v>
      </c>
      <c r="C263" s="241" t="s">
        <v>622</v>
      </c>
      <c r="D263" s="242" t="s">
        <v>618</v>
      </c>
      <c r="E263" s="615">
        <v>165.46</v>
      </c>
      <c r="F263" s="242" t="s">
        <v>79</v>
      </c>
      <c r="G263" s="580" t="s">
        <v>0</v>
      </c>
      <c r="H263" s="242" t="s">
        <v>294</v>
      </c>
      <c r="I263" s="580" t="s">
        <v>336</v>
      </c>
      <c r="J263" s="51"/>
      <c r="K263" s="51"/>
      <c r="L263" s="51"/>
      <c r="M263" s="51"/>
    </row>
    <row r="264" spans="1:13" ht="35.25" customHeight="1" outlineLevel="2">
      <c r="A264" s="382">
        <v>39</v>
      </c>
      <c r="B264" s="559">
        <v>41687</v>
      </c>
      <c r="C264" s="241" t="s">
        <v>623</v>
      </c>
      <c r="D264" s="613" t="s">
        <v>296</v>
      </c>
      <c r="E264" s="615">
        <v>1120</v>
      </c>
      <c r="F264" s="242" t="s">
        <v>79</v>
      </c>
      <c r="G264" s="580" t="s">
        <v>0</v>
      </c>
      <c r="H264" s="242" t="s">
        <v>295</v>
      </c>
      <c r="I264" s="561" t="s">
        <v>336</v>
      </c>
      <c r="J264" s="51"/>
      <c r="K264" s="51"/>
      <c r="L264" s="51"/>
      <c r="M264" s="51"/>
    </row>
    <row r="265" spans="1:13" ht="35.25" customHeight="1" outlineLevel="2">
      <c r="A265" s="382">
        <v>40</v>
      </c>
      <c r="B265" s="559">
        <v>41687</v>
      </c>
      <c r="C265" s="241" t="s">
        <v>624</v>
      </c>
      <c r="D265" s="403" t="s">
        <v>296</v>
      </c>
      <c r="E265" s="615">
        <v>137.19</v>
      </c>
      <c r="F265" s="242" t="s">
        <v>79</v>
      </c>
      <c r="G265" s="580" t="s">
        <v>0</v>
      </c>
      <c r="H265" s="242" t="s">
        <v>294</v>
      </c>
      <c r="I265" s="561" t="s">
        <v>336</v>
      </c>
      <c r="J265" s="51"/>
      <c r="K265" s="51"/>
      <c r="L265" s="51"/>
      <c r="M265" s="51"/>
    </row>
    <row r="266" spans="1:13" ht="35.25" customHeight="1" outlineLevel="2">
      <c r="A266" s="382">
        <v>63</v>
      </c>
      <c r="B266" s="559">
        <v>41715</v>
      </c>
      <c r="C266" s="241" t="s">
        <v>653</v>
      </c>
      <c r="D266" s="403" t="s">
        <v>296</v>
      </c>
      <c r="E266" s="615">
        <v>211.34</v>
      </c>
      <c r="F266" s="242" t="s">
        <v>79</v>
      </c>
      <c r="G266" s="580" t="s">
        <v>0</v>
      </c>
      <c r="H266" s="242" t="s">
        <v>294</v>
      </c>
      <c r="I266" s="561" t="s">
        <v>336</v>
      </c>
      <c r="J266" s="51"/>
      <c r="K266" s="51"/>
      <c r="L266" s="51"/>
      <c r="M266" s="51"/>
    </row>
    <row r="267" spans="1:13" ht="35.25" customHeight="1" outlineLevel="2">
      <c r="A267" s="382">
        <v>65</v>
      </c>
      <c r="B267" s="559">
        <v>41715</v>
      </c>
      <c r="C267" s="241" t="s">
        <v>654</v>
      </c>
      <c r="D267" s="403" t="s">
        <v>296</v>
      </c>
      <c r="E267" s="615">
        <v>7.74</v>
      </c>
      <c r="F267" s="242" t="s">
        <v>79</v>
      </c>
      <c r="G267" s="580" t="s">
        <v>0</v>
      </c>
      <c r="H267" s="242" t="s">
        <v>294</v>
      </c>
      <c r="I267" s="561" t="s">
        <v>336</v>
      </c>
      <c r="J267" s="51"/>
      <c r="K267" s="51"/>
      <c r="L267" s="51"/>
      <c r="M267" s="51"/>
    </row>
    <row r="268" spans="1:13" ht="35.25" customHeight="1" outlineLevel="2">
      <c r="A268" s="382">
        <v>66</v>
      </c>
      <c r="B268" s="559">
        <v>41715</v>
      </c>
      <c r="C268" s="241" t="s">
        <v>690</v>
      </c>
      <c r="D268" s="403" t="s">
        <v>296</v>
      </c>
      <c r="E268" s="615">
        <v>500</v>
      </c>
      <c r="F268" s="242" t="s">
        <v>79</v>
      </c>
      <c r="G268" s="580" t="s">
        <v>0</v>
      </c>
      <c r="H268" s="242" t="s">
        <v>295</v>
      </c>
      <c r="I268" s="561" t="s">
        <v>336</v>
      </c>
      <c r="J268" s="51"/>
      <c r="K268" s="51"/>
      <c r="L268" s="51"/>
      <c r="M268" s="51"/>
    </row>
    <row r="269" spans="1:13" ht="35.25" customHeight="1" outlineLevel="2">
      <c r="A269" s="382">
        <v>67</v>
      </c>
      <c r="B269" s="559">
        <v>41715</v>
      </c>
      <c r="C269" s="241" t="s">
        <v>691</v>
      </c>
      <c r="D269" s="403" t="s">
        <v>296</v>
      </c>
      <c r="E269" s="615">
        <v>163.6</v>
      </c>
      <c r="F269" s="242" t="s">
        <v>79</v>
      </c>
      <c r="G269" s="580" t="s">
        <v>0</v>
      </c>
      <c r="H269" s="242" t="s">
        <v>294</v>
      </c>
      <c r="I269" s="561" t="s">
        <v>336</v>
      </c>
      <c r="J269" s="51"/>
      <c r="K269" s="51"/>
      <c r="L269" s="51"/>
      <c r="M269" s="51"/>
    </row>
    <row r="270" spans="1:13" ht="35.25" customHeight="1" outlineLevel="2">
      <c r="A270" s="382">
        <v>95</v>
      </c>
      <c r="B270" s="559">
        <v>41745</v>
      </c>
      <c r="C270" s="241" t="s">
        <v>661</v>
      </c>
      <c r="D270" s="242" t="s">
        <v>296</v>
      </c>
      <c r="E270" s="243">
        <v>1400</v>
      </c>
      <c r="F270" s="242" t="s">
        <v>79</v>
      </c>
      <c r="G270" s="580" t="s">
        <v>0</v>
      </c>
      <c r="H270" s="242" t="s">
        <v>295</v>
      </c>
      <c r="I270" s="580" t="s">
        <v>336</v>
      </c>
      <c r="J270" s="51"/>
      <c r="K270" s="51"/>
      <c r="L270" s="51"/>
      <c r="M270" s="51"/>
    </row>
    <row r="271" spans="1:13" ht="35.25" customHeight="1" outlineLevel="2">
      <c r="A271" s="382">
        <v>97</v>
      </c>
      <c r="B271" s="559">
        <v>41745</v>
      </c>
      <c r="C271" s="241" t="s">
        <v>657</v>
      </c>
      <c r="D271" s="242" t="s">
        <v>296</v>
      </c>
      <c r="E271" s="243">
        <v>146.23</v>
      </c>
      <c r="F271" s="242" t="s">
        <v>79</v>
      </c>
      <c r="G271" s="580" t="s">
        <v>0</v>
      </c>
      <c r="H271" s="242" t="s">
        <v>294</v>
      </c>
      <c r="I271" s="580" t="s">
        <v>336</v>
      </c>
      <c r="J271" s="51"/>
      <c r="K271" s="51"/>
      <c r="L271" s="51"/>
      <c r="M271" s="51"/>
    </row>
    <row r="272" spans="1:13" ht="35.25" customHeight="1" outlineLevel="2">
      <c r="A272" s="382">
        <v>99</v>
      </c>
      <c r="B272" s="559">
        <v>41745</v>
      </c>
      <c r="C272" s="241" t="s">
        <v>660</v>
      </c>
      <c r="D272" s="242" t="s">
        <v>617</v>
      </c>
      <c r="E272" s="243">
        <v>19.96</v>
      </c>
      <c r="F272" s="242" t="s">
        <v>79</v>
      </c>
      <c r="G272" s="580" t="s">
        <v>0</v>
      </c>
      <c r="H272" s="242" t="s">
        <v>294</v>
      </c>
      <c r="I272" s="580" t="s">
        <v>336</v>
      </c>
      <c r="J272" s="51"/>
      <c r="K272" s="51"/>
      <c r="L272" s="51"/>
      <c r="M272" s="51"/>
    </row>
    <row r="273" spans="1:13" ht="35.25" customHeight="1" outlineLevel="2">
      <c r="A273" s="382">
        <v>100</v>
      </c>
      <c r="B273" s="559">
        <v>41745</v>
      </c>
      <c r="C273" s="241" t="s">
        <v>659</v>
      </c>
      <c r="D273" s="242" t="s">
        <v>618</v>
      </c>
      <c r="E273" s="243">
        <v>8.629999999999999</v>
      </c>
      <c r="F273" s="242" t="s">
        <v>79</v>
      </c>
      <c r="G273" s="580" t="s">
        <v>0</v>
      </c>
      <c r="H273" s="242" t="s">
        <v>294</v>
      </c>
      <c r="I273" s="580" t="s">
        <v>336</v>
      </c>
      <c r="J273" s="51"/>
      <c r="K273" s="51"/>
      <c r="L273" s="51"/>
      <c r="M273" s="51"/>
    </row>
    <row r="274" spans="1:13" ht="35.25" customHeight="1" outlineLevel="2">
      <c r="A274" s="382">
        <v>177</v>
      </c>
      <c r="B274" s="559">
        <v>41775</v>
      </c>
      <c r="C274" s="241" t="s">
        <v>667</v>
      </c>
      <c r="D274" s="403" t="s">
        <v>296</v>
      </c>
      <c r="E274" s="243">
        <v>211.8</v>
      </c>
      <c r="F274" s="242" t="s">
        <v>79</v>
      </c>
      <c r="G274" s="580" t="s">
        <v>0</v>
      </c>
      <c r="H274" s="242" t="s">
        <v>294</v>
      </c>
      <c r="I274" s="561" t="s">
        <v>336</v>
      </c>
      <c r="J274" s="51"/>
      <c r="K274" s="51"/>
      <c r="L274" s="51"/>
      <c r="M274" s="51"/>
    </row>
    <row r="275" spans="1:13" ht="35.25" customHeight="1" outlineLevel="2">
      <c r="A275" s="382">
        <v>179</v>
      </c>
      <c r="B275" s="559">
        <v>41775</v>
      </c>
      <c r="C275" s="241" t="s">
        <v>669</v>
      </c>
      <c r="D275" s="403" t="s">
        <v>617</v>
      </c>
      <c r="E275" s="243">
        <v>8.71</v>
      </c>
      <c r="F275" s="242" t="s">
        <v>79</v>
      </c>
      <c r="G275" s="580" t="s">
        <v>0</v>
      </c>
      <c r="H275" s="242" t="s">
        <v>294</v>
      </c>
      <c r="I275" s="561" t="s">
        <v>336</v>
      </c>
      <c r="J275" s="51"/>
      <c r="K275" s="51"/>
      <c r="L275" s="51"/>
      <c r="M275" s="51"/>
    </row>
    <row r="276" spans="1:13" ht="35.25" customHeight="1" outlineLevel="2">
      <c r="A276" s="382">
        <v>183</v>
      </c>
      <c r="B276" s="559">
        <v>41775</v>
      </c>
      <c r="C276" s="241" t="s">
        <v>656</v>
      </c>
      <c r="D276" s="403" t="s">
        <v>296</v>
      </c>
      <c r="E276" s="243">
        <v>3744</v>
      </c>
      <c r="F276" s="242" t="s">
        <v>79</v>
      </c>
      <c r="G276" s="580" t="s">
        <v>0</v>
      </c>
      <c r="H276" s="242" t="s">
        <v>294</v>
      </c>
      <c r="I276" s="561" t="s">
        <v>336</v>
      </c>
      <c r="J276" s="51"/>
      <c r="K276" s="51"/>
      <c r="L276" s="51"/>
      <c r="M276" s="51"/>
    </row>
    <row r="277" spans="1:13" ht="35.25" customHeight="1" outlineLevel="2">
      <c r="A277" s="382">
        <v>194</v>
      </c>
      <c r="B277" s="559">
        <v>41806</v>
      </c>
      <c r="C277" s="241" t="s">
        <v>673</v>
      </c>
      <c r="D277" s="403" t="s">
        <v>296</v>
      </c>
      <c r="E277" s="243">
        <v>560</v>
      </c>
      <c r="F277" s="560" t="s">
        <v>79</v>
      </c>
      <c r="G277" s="561" t="s">
        <v>0</v>
      </c>
      <c r="H277" s="242" t="s">
        <v>294</v>
      </c>
      <c r="I277" s="561" t="s">
        <v>336</v>
      </c>
      <c r="J277" s="51"/>
      <c r="K277" s="51"/>
      <c r="L277" s="51"/>
      <c r="M277" s="51"/>
    </row>
    <row r="278" spans="1:13" ht="35.25" customHeight="1" outlineLevel="2">
      <c r="A278" s="382">
        <v>195</v>
      </c>
      <c r="B278" s="559">
        <v>41806</v>
      </c>
      <c r="C278" s="241" t="s">
        <v>665</v>
      </c>
      <c r="D278" s="242" t="s">
        <v>296</v>
      </c>
      <c r="E278" s="243">
        <v>48</v>
      </c>
      <c r="F278" s="242" t="s">
        <v>79</v>
      </c>
      <c r="G278" s="580" t="s">
        <v>0</v>
      </c>
      <c r="H278" s="242" t="s">
        <v>294</v>
      </c>
      <c r="I278" s="561" t="s">
        <v>336</v>
      </c>
      <c r="J278" s="51"/>
      <c r="K278" s="51"/>
      <c r="L278" s="51"/>
      <c r="M278" s="51"/>
    </row>
    <row r="279" spans="1:13" ht="35.25" customHeight="1" outlineLevel="2">
      <c r="A279" s="382">
        <v>219</v>
      </c>
      <c r="B279" s="559">
        <v>41836</v>
      </c>
      <c r="C279" s="241" t="s">
        <v>679</v>
      </c>
      <c r="D279" s="242" t="s">
        <v>296</v>
      </c>
      <c r="E279" s="243">
        <v>212.25</v>
      </c>
      <c r="F279" s="560" t="s">
        <v>79</v>
      </c>
      <c r="G279" s="561" t="s">
        <v>0</v>
      </c>
      <c r="H279" s="242" t="s">
        <v>294</v>
      </c>
      <c r="I279" s="561" t="s">
        <v>336</v>
      </c>
      <c r="J279" s="51"/>
      <c r="K279" s="51"/>
      <c r="L279" s="51"/>
      <c r="M279" s="51"/>
    </row>
    <row r="280" spans="1:13" ht="35.25" customHeight="1" outlineLevel="2">
      <c r="A280" s="382">
        <v>221</v>
      </c>
      <c r="B280" s="559">
        <v>41836</v>
      </c>
      <c r="C280" s="241" t="s">
        <v>681</v>
      </c>
      <c r="D280" s="242" t="s">
        <v>617</v>
      </c>
      <c r="E280" s="243">
        <v>10.17</v>
      </c>
      <c r="F280" s="560" t="s">
        <v>79</v>
      </c>
      <c r="G280" s="561" t="s">
        <v>0</v>
      </c>
      <c r="H280" s="242" t="s">
        <v>294</v>
      </c>
      <c r="I280" s="561" t="s">
        <v>336</v>
      </c>
      <c r="J280" s="51"/>
      <c r="K280" s="51"/>
      <c r="L280" s="51"/>
      <c r="M280" s="51"/>
    </row>
    <row r="281" spans="1:13" ht="35.25" customHeight="1" outlineLevel="2">
      <c r="A281" s="382">
        <v>242</v>
      </c>
      <c r="B281" s="559">
        <v>41883</v>
      </c>
      <c r="C281" s="241" t="s">
        <v>682</v>
      </c>
      <c r="D281" s="403" t="s">
        <v>296</v>
      </c>
      <c r="E281" s="243">
        <v>52</v>
      </c>
      <c r="F281" s="560" t="s">
        <v>79</v>
      </c>
      <c r="G281" s="561" t="s">
        <v>0</v>
      </c>
      <c r="H281" s="242" t="s">
        <v>294</v>
      </c>
      <c r="I281" s="561" t="s">
        <v>336</v>
      </c>
      <c r="J281" s="51"/>
      <c r="K281" s="51"/>
      <c r="L281" s="51"/>
      <c r="M281" s="51"/>
    </row>
    <row r="282" spans="1:13" ht="35.25" customHeight="1" outlineLevel="2">
      <c r="A282" s="382">
        <v>285</v>
      </c>
      <c r="B282" s="559">
        <v>41928</v>
      </c>
      <c r="C282" s="241" t="s">
        <v>997</v>
      </c>
      <c r="D282" s="403" t="s">
        <v>296</v>
      </c>
      <c r="E282" s="243">
        <v>52</v>
      </c>
      <c r="F282" s="560" t="s">
        <v>79</v>
      </c>
      <c r="G282" s="561" t="s">
        <v>0</v>
      </c>
      <c r="H282" s="242" t="s">
        <v>294</v>
      </c>
      <c r="I282" s="561" t="s">
        <v>336</v>
      </c>
      <c r="J282" s="51"/>
      <c r="K282" s="51"/>
      <c r="L282" s="51"/>
      <c r="M282" s="51"/>
    </row>
    <row r="283" spans="1:13" ht="35.25" customHeight="1" outlineLevel="2">
      <c r="A283" s="382">
        <v>287</v>
      </c>
      <c r="B283" s="559">
        <v>41928</v>
      </c>
      <c r="C283" s="241" t="s">
        <v>996</v>
      </c>
      <c r="D283" s="403" t="s">
        <v>296</v>
      </c>
      <c r="E283" s="243">
        <v>500</v>
      </c>
      <c r="F283" s="560" t="s">
        <v>79</v>
      </c>
      <c r="G283" s="561" t="s">
        <v>0</v>
      </c>
      <c r="H283" s="242" t="s">
        <v>294</v>
      </c>
      <c r="I283" s="561" t="s">
        <v>336</v>
      </c>
      <c r="J283" s="51"/>
      <c r="K283" s="51"/>
      <c r="L283" s="51"/>
      <c r="M283" s="51"/>
    </row>
    <row r="284" spans="1:13" ht="35.25" customHeight="1" outlineLevel="2">
      <c r="A284" s="382">
        <v>292</v>
      </c>
      <c r="B284" s="559">
        <v>41946</v>
      </c>
      <c r="C284" s="241" t="s">
        <v>1006</v>
      </c>
      <c r="D284" s="403" t="s">
        <v>388</v>
      </c>
      <c r="E284" s="243">
        <v>846</v>
      </c>
      <c r="F284" s="242" t="s">
        <v>79</v>
      </c>
      <c r="G284" s="561" t="s">
        <v>0</v>
      </c>
      <c r="H284" s="242" t="s">
        <v>295</v>
      </c>
      <c r="I284" s="561" t="s">
        <v>336</v>
      </c>
      <c r="J284" s="51"/>
      <c r="K284" s="51"/>
      <c r="L284" s="51"/>
      <c r="M284" s="51"/>
    </row>
    <row r="285" spans="1:13" ht="35.25" customHeight="1" outlineLevel="2">
      <c r="A285" s="382">
        <v>293</v>
      </c>
      <c r="B285" s="559">
        <v>41946</v>
      </c>
      <c r="C285" s="241" t="s">
        <v>1006</v>
      </c>
      <c r="D285" s="403" t="s">
        <v>388</v>
      </c>
      <c r="E285" s="243">
        <v>41.89</v>
      </c>
      <c r="F285" s="242" t="s">
        <v>79</v>
      </c>
      <c r="G285" s="561" t="s">
        <v>0</v>
      </c>
      <c r="H285" s="242" t="s">
        <v>294</v>
      </c>
      <c r="I285" s="561" t="s">
        <v>336</v>
      </c>
      <c r="J285" s="51"/>
      <c r="K285" s="51"/>
      <c r="L285" s="51"/>
      <c r="M285" s="51"/>
    </row>
    <row r="286" spans="1:13" ht="35.25" customHeight="1" outlineLevel="2">
      <c r="A286" s="382">
        <v>309</v>
      </c>
      <c r="B286" s="559">
        <v>41974</v>
      </c>
      <c r="C286" s="241" t="s">
        <v>807</v>
      </c>
      <c r="D286" s="403" t="s">
        <v>296</v>
      </c>
      <c r="E286" s="243">
        <v>80</v>
      </c>
      <c r="F286" s="560" t="s">
        <v>79</v>
      </c>
      <c r="G286" s="561" t="s">
        <v>0</v>
      </c>
      <c r="H286" s="242" t="s">
        <v>294</v>
      </c>
      <c r="I286" s="561" t="s">
        <v>336</v>
      </c>
      <c r="J286" s="51"/>
      <c r="K286" s="51"/>
      <c r="L286" s="51"/>
      <c r="M286" s="51"/>
    </row>
    <row r="287" spans="1:13" ht="35.25" customHeight="1" outlineLevel="2">
      <c r="A287" s="382">
        <v>326</v>
      </c>
      <c r="B287" s="559">
        <v>42002</v>
      </c>
      <c r="C287" s="241" t="s">
        <v>1016</v>
      </c>
      <c r="D287" s="403" t="s">
        <v>333</v>
      </c>
      <c r="E287" s="243">
        <v>360.55</v>
      </c>
      <c r="F287" s="560" t="s">
        <v>79</v>
      </c>
      <c r="G287" s="561" t="s">
        <v>0</v>
      </c>
      <c r="H287" s="242" t="s">
        <v>294</v>
      </c>
      <c r="I287" s="561" t="s">
        <v>336</v>
      </c>
      <c r="J287" s="51"/>
      <c r="K287" s="51"/>
      <c r="L287" s="51"/>
      <c r="M287" s="51"/>
    </row>
    <row r="288" spans="1:13" ht="35.25" customHeight="1" outlineLevel="1">
      <c r="A288" s="382"/>
      <c r="B288" s="559"/>
      <c r="C288" s="241"/>
      <c r="D288" s="403"/>
      <c r="E288" s="243">
        <f>SUBTOTAL(9,E261:E287)</f>
        <v>11394.079999999998</v>
      </c>
      <c r="F288" s="639" t="s">
        <v>1052</v>
      </c>
      <c r="G288" s="561"/>
      <c r="H288" s="242"/>
      <c r="I288" s="561">
        <f>SUBTOTAL(9,I261:I287)</f>
        <v>0</v>
      </c>
      <c r="J288" s="51"/>
      <c r="K288" s="51"/>
      <c r="L288" s="51"/>
      <c r="M288" s="51"/>
    </row>
    <row r="289" spans="1:13" ht="35.25" customHeight="1" outlineLevel="2">
      <c r="A289" s="382">
        <v>23</v>
      </c>
      <c r="B289" s="596">
        <v>41655</v>
      </c>
      <c r="C289" s="241" t="s">
        <v>620</v>
      </c>
      <c r="D289" s="242" t="s">
        <v>300</v>
      </c>
      <c r="E289" s="615">
        <v>753</v>
      </c>
      <c r="F289" s="560" t="s">
        <v>170</v>
      </c>
      <c r="G289" s="581" t="s">
        <v>44</v>
      </c>
      <c r="H289" s="242" t="s">
        <v>294</v>
      </c>
      <c r="I289" s="580" t="s">
        <v>336</v>
      </c>
      <c r="J289" s="51"/>
      <c r="K289" s="51"/>
      <c r="L289" s="51"/>
      <c r="M289" s="51"/>
    </row>
    <row r="290" spans="1:13" ht="35.25" customHeight="1" outlineLevel="2">
      <c r="A290" s="382">
        <v>41</v>
      </c>
      <c r="B290" s="559">
        <v>41687</v>
      </c>
      <c r="C290" s="241" t="s">
        <v>625</v>
      </c>
      <c r="D290" s="403" t="s">
        <v>300</v>
      </c>
      <c r="E290" s="615">
        <v>190</v>
      </c>
      <c r="F290" s="560" t="s">
        <v>170</v>
      </c>
      <c r="G290" s="581" t="s">
        <v>44</v>
      </c>
      <c r="H290" s="242" t="s">
        <v>294</v>
      </c>
      <c r="I290" s="561" t="s">
        <v>336</v>
      </c>
      <c r="J290" s="51"/>
      <c r="K290" s="51"/>
      <c r="L290" s="51"/>
      <c r="M290" s="51"/>
    </row>
    <row r="291" spans="1:13" ht="35.25" customHeight="1" outlineLevel="2">
      <c r="A291" s="382">
        <v>64</v>
      </c>
      <c r="B291" s="559">
        <v>41715</v>
      </c>
      <c r="C291" s="241" t="s">
        <v>365</v>
      </c>
      <c r="D291" s="403" t="s">
        <v>300</v>
      </c>
      <c r="E291" s="615">
        <v>293</v>
      </c>
      <c r="F291" s="560" t="s">
        <v>170</v>
      </c>
      <c r="G291" s="581" t="s">
        <v>44</v>
      </c>
      <c r="H291" s="242" t="s">
        <v>294</v>
      </c>
      <c r="I291" s="561" t="s">
        <v>336</v>
      </c>
      <c r="J291" s="51"/>
      <c r="K291" s="51"/>
      <c r="L291" s="51"/>
      <c r="M291" s="51"/>
    </row>
    <row r="292" spans="1:13" ht="35.25" customHeight="1" outlineLevel="2">
      <c r="A292" s="382">
        <v>98</v>
      </c>
      <c r="B292" s="559">
        <v>41745</v>
      </c>
      <c r="C292" s="241" t="s">
        <v>658</v>
      </c>
      <c r="D292" s="242" t="s">
        <v>300</v>
      </c>
      <c r="E292" s="243">
        <v>203</v>
      </c>
      <c r="F292" s="560" t="s">
        <v>170</v>
      </c>
      <c r="G292" s="581" t="s">
        <v>44</v>
      </c>
      <c r="H292" s="242" t="s">
        <v>294</v>
      </c>
      <c r="I292" s="580" t="s">
        <v>336</v>
      </c>
      <c r="J292" s="51"/>
      <c r="K292" s="51"/>
      <c r="L292" s="51"/>
      <c r="M292" s="51"/>
    </row>
    <row r="293" spans="1:13" ht="35.25" customHeight="1" outlineLevel="2">
      <c r="A293" s="382">
        <v>178</v>
      </c>
      <c r="B293" s="559">
        <v>41775</v>
      </c>
      <c r="C293" s="241" t="s">
        <v>668</v>
      </c>
      <c r="D293" s="403" t="s">
        <v>300</v>
      </c>
      <c r="E293" s="243">
        <v>294</v>
      </c>
      <c r="F293" s="242" t="s">
        <v>170</v>
      </c>
      <c r="G293" s="580" t="s">
        <v>44</v>
      </c>
      <c r="H293" s="242" t="s">
        <v>294</v>
      </c>
      <c r="I293" s="561" t="s">
        <v>336</v>
      </c>
      <c r="J293" s="51"/>
      <c r="K293" s="51"/>
      <c r="L293" s="51"/>
      <c r="M293" s="51"/>
    </row>
    <row r="294" spans="1:13" ht="35.25" customHeight="1" outlineLevel="2">
      <c r="A294" s="382">
        <v>220</v>
      </c>
      <c r="B294" s="559">
        <v>41836</v>
      </c>
      <c r="C294" s="241" t="s">
        <v>680</v>
      </c>
      <c r="D294" s="242" t="s">
        <v>300</v>
      </c>
      <c r="E294" s="243">
        <v>425</v>
      </c>
      <c r="F294" s="560" t="s">
        <v>170</v>
      </c>
      <c r="G294" s="561" t="s">
        <v>44</v>
      </c>
      <c r="H294" s="242" t="s">
        <v>294</v>
      </c>
      <c r="I294" s="561" t="s">
        <v>336</v>
      </c>
      <c r="J294" s="51"/>
      <c r="K294" s="51"/>
      <c r="L294" s="51"/>
      <c r="M294" s="51"/>
    </row>
    <row r="295" spans="1:13" ht="35.25" customHeight="1" outlineLevel="2" thickBot="1">
      <c r="A295" s="382">
        <v>243</v>
      </c>
      <c r="B295" s="559">
        <v>41883</v>
      </c>
      <c r="C295" s="241" t="s">
        <v>683</v>
      </c>
      <c r="D295" s="403" t="s">
        <v>300</v>
      </c>
      <c r="E295" s="243">
        <v>295</v>
      </c>
      <c r="F295" s="560" t="s">
        <v>170</v>
      </c>
      <c r="G295" s="561" t="s">
        <v>44</v>
      </c>
      <c r="H295" s="242" t="s">
        <v>294</v>
      </c>
      <c r="I295" s="561" t="s">
        <v>336</v>
      </c>
      <c r="J295" s="51"/>
      <c r="K295" s="51"/>
      <c r="L295" s="51"/>
      <c r="M295" s="51"/>
    </row>
    <row r="296" spans="1:13" ht="35.25" customHeight="1" outlineLevel="2" thickTop="1">
      <c r="A296" s="382">
        <v>286</v>
      </c>
      <c r="B296" s="559">
        <v>41928</v>
      </c>
      <c r="C296" s="241" t="s">
        <v>998</v>
      </c>
      <c r="D296" s="403" t="s">
        <v>300</v>
      </c>
      <c r="E296" s="243">
        <v>67</v>
      </c>
      <c r="F296" s="355" t="s">
        <v>170</v>
      </c>
      <c r="G296" s="354" t="s">
        <v>44</v>
      </c>
      <c r="H296" s="242" t="s">
        <v>294</v>
      </c>
      <c r="I296" s="561" t="s">
        <v>336</v>
      </c>
      <c r="J296" s="51"/>
      <c r="K296" s="51"/>
      <c r="L296" s="51"/>
      <c r="M296" s="51"/>
    </row>
    <row r="297" spans="1:13" ht="35.25" customHeight="1" outlineLevel="2">
      <c r="A297" s="382">
        <v>304</v>
      </c>
      <c r="B297" s="559">
        <v>41960</v>
      </c>
      <c r="C297" s="241" t="s">
        <v>807</v>
      </c>
      <c r="D297" s="403" t="s">
        <v>300</v>
      </c>
      <c r="E297" s="243">
        <v>1142</v>
      </c>
      <c r="F297" s="560" t="s">
        <v>170</v>
      </c>
      <c r="G297" s="561" t="s">
        <v>44</v>
      </c>
      <c r="H297" s="242" t="s">
        <v>294</v>
      </c>
      <c r="I297" s="561" t="s">
        <v>336</v>
      </c>
      <c r="J297" s="51"/>
      <c r="K297" s="51"/>
      <c r="L297" s="51"/>
      <c r="M297" s="51"/>
    </row>
    <row r="298" spans="1:13" ht="35.25" customHeight="1" outlineLevel="1">
      <c r="A298" s="382"/>
      <c r="B298" s="559"/>
      <c r="C298" s="241"/>
      <c r="D298" s="403"/>
      <c r="E298" s="243">
        <f>SUBTOTAL(9,E289:E297)</f>
        <v>3662</v>
      </c>
      <c r="F298" s="639" t="s">
        <v>1053</v>
      </c>
      <c r="G298" s="561"/>
      <c r="H298" s="242"/>
      <c r="I298" s="561">
        <f>SUBTOTAL(9,I289:I297)</f>
        <v>0</v>
      </c>
      <c r="J298" s="51"/>
      <c r="K298" s="51"/>
      <c r="L298" s="51"/>
      <c r="M298" s="51"/>
    </row>
    <row r="299" spans="1:13" ht="35.25" customHeight="1" outlineLevel="2">
      <c r="A299" s="382">
        <v>180</v>
      </c>
      <c r="B299" s="559">
        <v>41775</v>
      </c>
      <c r="C299" s="241" t="s">
        <v>670</v>
      </c>
      <c r="D299" s="403" t="s">
        <v>315</v>
      </c>
      <c r="E299" s="243">
        <v>250.04</v>
      </c>
      <c r="F299" s="242" t="s">
        <v>173</v>
      </c>
      <c r="G299" s="580" t="s">
        <v>171</v>
      </c>
      <c r="H299" s="242" t="s">
        <v>295</v>
      </c>
      <c r="I299" s="561" t="s">
        <v>336</v>
      </c>
      <c r="J299" s="51"/>
      <c r="K299" s="51"/>
      <c r="L299" s="51"/>
      <c r="M299" s="51"/>
    </row>
    <row r="300" spans="1:13" ht="35.25" customHeight="1" outlineLevel="2">
      <c r="A300" s="382">
        <v>181</v>
      </c>
      <c r="B300" s="559">
        <v>41775</v>
      </c>
      <c r="C300" s="241" t="s">
        <v>671</v>
      </c>
      <c r="D300" s="403" t="s">
        <v>315</v>
      </c>
      <c r="E300" s="243">
        <v>67.4</v>
      </c>
      <c r="F300" s="242" t="s">
        <v>173</v>
      </c>
      <c r="G300" s="580" t="s">
        <v>171</v>
      </c>
      <c r="H300" s="242" t="s">
        <v>294</v>
      </c>
      <c r="I300" s="561" t="s">
        <v>336</v>
      </c>
      <c r="J300" s="51"/>
      <c r="K300" s="51"/>
      <c r="L300" s="51"/>
      <c r="M300" s="51"/>
    </row>
    <row r="301" spans="1:13" ht="35.25" customHeight="1" outlineLevel="2">
      <c r="A301" s="382">
        <v>182</v>
      </c>
      <c r="B301" s="559">
        <v>41775</v>
      </c>
      <c r="C301" s="241" t="s">
        <v>672</v>
      </c>
      <c r="D301" s="403" t="s">
        <v>315</v>
      </c>
      <c r="E301" s="243">
        <v>364.84</v>
      </c>
      <c r="F301" s="242" t="s">
        <v>173</v>
      </c>
      <c r="G301" s="580" t="s">
        <v>171</v>
      </c>
      <c r="H301" s="242" t="s">
        <v>294</v>
      </c>
      <c r="I301" s="561" t="s">
        <v>336</v>
      </c>
      <c r="J301" s="51"/>
      <c r="K301" s="51"/>
      <c r="L301" s="51"/>
      <c r="M301" s="51"/>
    </row>
    <row r="302" spans="1:13" ht="35.25" customHeight="1" outlineLevel="1">
      <c r="A302" s="382"/>
      <c r="B302" s="559"/>
      <c r="C302" s="241"/>
      <c r="D302" s="403"/>
      <c r="E302" s="243">
        <f>SUBTOTAL(9,E299:E301)</f>
        <v>682.28</v>
      </c>
      <c r="F302" s="652" t="s">
        <v>1054</v>
      </c>
      <c r="G302" s="580"/>
      <c r="H302" s="242"/>
      <c r="I302" s="561">
        <f>SUBTOTAL(9,I299:I301)</f>
        <v>0</v>
      </c>
      <c r="J302" s="51"/>
      <c r="K302" s="51"/>
      <c r="L302" s="51"/>
      <c r="M302" s="51"/>
    </row>
    <row r="303" spans="1:13" ht="35.25" customHeight="1" outlineLevel="1">
      <c r="A303" s="382">
        <v>6</v>
      </c>
      <c r="B303" s="559">
        <v>41647</v>
      </c>
      <c r="C303" s="241" t="s">
        <v>595</v>
      </c>
      <c r="D303" s="242" t="s">
        <v>333</v>
      </c>
      <c r="E303" s="615">
        <v>1010.16</v>
      </c>
      <c r="F303" s="242"/>
      <c r="G303" s="561" t="s">
        <v>430</v>
      </c>
      <c r="H303" s="242" t="s">
        <v>294</v>
      </c>
      <c r="I303" s="561" t="s">
        <v>431</v>
      </c>
      <c r="J303" s="51"/>
      <c r="K303" s="51"/>
      <c r="L303" s="51"/>
      <c r="M303" s="51"/>
    </row>
    <row r="304" spans="1:13" ht="35.25" customHeight="1" outlineLevel="1">
      <c r="A304" s="382">
        <v>7</v>
      </c>
      <c r="B304" s="559">
        <v>41647</v>
      </c>
      <c r="C304" s="241" t="s">
        <v>596</v>
      </c>
      <c r="D304" s="242" t="s">
        <v>333</v>
      </c>
      <c r="E304" s="615">
        <v>0.61</v>
      </c>
      <c r="F304" s="242"/>
      <c r="G304" s="561" t="s">
        <v>430</v>
      </c>
      <c r="H304" s="242" t="s">
        <v>294</v>
      </c>
      <c r="I304" s="561" t="s">
        <v>431</v>
      </c>
      <c r="J304" s="51"/>
      <c r="K304" s="51"/>
      <c r="L304" s="51"/>
      <c r="M304" s="51"/>
    </row>
    <row r="305" spans="1:13" ht="35.25" customHeight="1" outlineLevel="1">
      <c r="A305" s="382">
        <v>8</v>
      </c>
      <c r="B305" s="559">
        <v>41647</v>
      </c>
      <c r="C305" s="241" t="s">
        <v>597</v>
      </c>
      <c r="D305" s="242" t="s">
        <v>284</v>
      </c>
      <c r="E305" s="615">
        <v>186.64</v>
      </c>
      <c r="F305" s="242"/>
      <c r="G305" s="561" t="s">
        <v>430</v>
      </c>
      <c r="H305" s="242" t="s">
        <v>294</v>
      </c>
      <c r="I305" s="561" t="s">
        <v>431</v>
      </c>
      <c r="J305" s="51"/>
      <c r="K305" s="51"/>
      <c r="L305" s="51"/>
      <c r="M305" s="51"/>
    </row>
    <row r="306" spans="1:13" ht="35.25" customHeight="1" outlineLevel="1">
      <c r="A306" s="382">
        <v>9</v>
      </c>
      <c r="B306" s="559">
        <v>41647</v>
      </c>
      <c r="C306" s="241" t="s">
        <v>598</v>
      </c>
      <c r="D306" s="242" t="s">
        <v>284</v>
      </c>
      <c r="E306" s="615">
        <v>16.26</v>
      </c>
      <c r="F306" s="242"/>
      <c r="G306" s="561" t="s">
        <v>430</v>
      </c>
      <c r="H306" s="242" t="s">
        <v>294</v>
      </c>
      <c r="I306" s="561" t="s">
        <v>431</v>
      </c>
      <c r="J306" s="51"/>
      <c r="K306" s="51"/>
      <c r="L306" s="51"/>
      <c r="M306" s="51"/>
    </row>
    <row r="307" spans="1:13" ht="35.25" customHeight="1" outlineLevel="1">
      <c r="A307" s="382">
        <v>10</v>
      </c>
      <c r="B307" s="559">
        <v>41647</v>
      </c>
      <c r="C307" s="241" t="s">
        <v>595</v>
      </c>
      <c r="D307" s="242" t="s">
        <v>599</v>
      </c>
      <c r="E307" s="615">
        <v>453.57</v>
      </c>
      <c r="F307" s="154"/>
      <c r="G307" s="561" t="s">
        <v>430</v>
      </c>
      <c r="H307" s="242" t="s">
        <v>294</v>
      </c>
      <c r="I307" s="561" t="s">
        <v>432</v>
      </c>
      <c r="J307" s="51"/>
      <c r="K307" s="51"/>
      <c r="L307" s="51"/>
      <c r="M307" s="51"/>
    </row>
    <row r="308" spans="1:13" ht="35.25" customHeight="1" outlineLevel="1">
      <c r="A308" s="382">
        <v>11</v>
      </c>
      <c r="B308" s="559">
        <v>41647</v>
      </c>
      <c r="C308" s="241" t="s">
        <v>596</v>
      </c>
      <c r="D308" s="242" t="s">
        <v>599</v>
      </c>
      <c r="E308" s="615">
        <v>0.76</v>
      </c>
      <c r="F308" s="242"/>
      <c r="G308" s="561" t="s">
        <v>430</v>
      </c>
      <c r="H308" s="242" t="s">
        <v>294</v>
      </c>
      <c r="I308" s="561" t="s">
        <v>432</v>
      </c>
      <c r="J308" s="51"/>
      <c r="K308" s="51"/>
      <c r="L308" s="51"/>
      <c r="M308" s="51"/>
    </row>
    <row r="309" spans="1:13" ht="35.25" customHeight="1" outlineLevel="1" thickBot="1">
      <c r="A309" s="382">
        <v>12</v>
      </c>
      <c r="B309" s="559">
        <v>41647</v>
      </c>
      <c r="C309" s="241" t="s">
        <v>600</v>
      </c>
      <c r="D309" s="403" t="s">
        <v>284</v>
      </c>
      <c r="E309" s="615">
        <v>83.9</v>
      </c>
      <c r="F309" s="242"/>
      <c r="G309" s="561" t="s">
        <v>430</v>
      </c>
      <c r="H309" s="242" t="s">
        <v>294</v>
      </c>
      <c r="I309" s="561" t="s">
        <v>432</v>
      </c>
      <c r="J309" s="51"/>
      <c r="K309" s="51"/>
      <c r="L309" s="51"/>
      <c r="M309" s="51"/>
    </row>
    <row r="310" spans="1:13" ht="35.25" customHeight="1" outlineLevel="1" thickTop="1">
      <c r="A310" s="382">
        <v>13</v>
      </c>
      <c r="B310" s="559">
        <v>41647</v>
      </c>
      <c r="C310" s="241" t="s">
        <v>601</v>
      </c>
      <c r="D310" s="403" t="s">
        <v>284</v>
      </c>
      <c r="E310" s="615">
        <v>24.76</v>
      </c>
      <c r="F310" s="357"/>
      <c r="G310" s="354" t="s">
        <v>430</v>
      </c>
      <c r="H310" s="242" t="s">
        <v>294</v>
      </c>
      <c r="I310" s="561" t="s">
        <v>432</v>
      </c>
      <c r="J310" s="51"/>
      <c r="K310" s="51"/>
      <c r="L310" s="51"/>
      <c r="M310" s="51"/>
    </row>
    <row r="311" spans="1:13" ht="35.25" customHeight="1" outlineLevel="1">
      <c r="A311" s="382">
        <v>14</v>
      </c>
      <c r="B311" s="559">
        <v>41647</v>
      </c>
      <c r="C311" s="241" t="s">
        <v>433</v>
      </c>
      <c r="D311" s="403" t="s">
        <v>374</v>
      </c>
      <c r="E311" s="615">
        <v>1251.02</v>
      </c>
      <c r="F311" s="242"/>
      <c r="G311" s="561" t="s">
        <v>430</v>
      </c>
      <c r="H311" s="242" t="s">
        <v>294</v>
      </c>
      <c r="I311" s="561" t="s">
        <v>434</v>
      </c>
      <c r="J311" s="51"/>
      <c r="K311" s="51"/>
      <c r="L311" s="51"/>
      <c r="M311" s="51"/>
    </row>
    <row r="312" spans="1:13" ht="35.25" customHeight="1" outlineLevel="1">
      <c r="A312" s="382">
        <v>15</v>
      </c>
      <c r="B312" s="596">
        <v>41647</v>
      </c>
      <c r="C312" s="599" t="s">
        <v>579</v>
      </c>
      <c r="D312" s="602" t="s">
        <v>284</v>
      </c>
      <c r="E312" s="616">
        <v>231.18</v>
      </c>
      <c r="F312" s="617"/>
      <c r="G312" s="561" t="s">
        <v>430</v>
      </c>
      <c r="H312" s="242" t="s">
        <v>294</v>
      </c>
      <c r="I312" s="561" t="s">
        <v>434</v>
      </c>
      <c r="J312" s="51"/>
      <c r="K312" s="51"/>
      <c r="L312" s="51"/>
      <c r="M312" s="51"/>
    </row>
    <row r="313" spans="1:13" ht="35.25" customHeight="1" outlineLevel="1">
      <c r="A313" s="382">
        <v>16</v>
      </c>
      <c r="B313" s="596">
        <v>41647</v>
      </c>
      <c r="C313" s="599" t="s">
        <v>580</v>
      </c>
      <c r="D313" s="602" t="s">
        <v>284</v>
      </c>
      <c r="E313" s="616">
        <v>3.9</v>
      </c>
      <c r="F313" s="617"/>
      <c r="G313" s="561" t="s">
        <v>430</v>
      </c>
      <c r="H313" s="242" t="s">
        <v>294</v>
      </c>
      <c r="I313" s="561" t="s">
        <v>434</v>
      </c>
      <c r="J313" s="51"/>
      <c r="K313" s="51"/>
      <c r="L313" s="51"/>
      <c r="M313" s="51"/>
    </row>
    <row r="314" spans="1:13" ht="35.25" customHeight="1" outlineLevel="1">
      <c r="A314" s="382">
        <v>28</v>
      </c>
      <c r="B314" s="559">
        <v>41673</v>
      </c>
      <c r="C314" s="241" t="s">
        <v>602</v>
      </c>
      <c r="D314" s="242" t="s">
        <v>364</v>
      </c>
      <c r="E314" s="615">
        <v>661.88</v>
      </c>
      <c r="F314" s="154"/>
      <c r="G314" s="561" t="s">
        <v>430</v>
      </c>
      <c r="H314" s="242" t="s">
        <v>294</v>
      </c>
      <c r="I314" s="561" t="s">
        <v>445</v>
      </c>
      <c r="J314" s="51"/>
      <c r="K314" s="51"/>
      <c r="L314" s="51"/>
      <c r="M314" s="51"/>
    </row>
    <row r="315" spans="1:13" ht="35.25" customHeight="1" outlineLevel="1">
      <c r="A315" s="382">
        <v>29</v>
      </c>
      <c r="B315" s="559">
        <v>41673</v>
      </c>
      <c r="C315" s="241" t="s">
        <v>602</v>
      </c>
      <c r="D315" s="242" t="s">
        <v>364</v>
      </c>
      <c r="E315" s="615">
        <v>0.71</v>
      </c>
      <c r="F315" s="242"/>
      <c r="G315" s="561" t="s">
        <v>430</v>
      </c>
      <c r="H315" s="242" t="s">
        <v>294</v>
      </c>
      <c r="I315" s="561" t="s">
        <v>445</v>
      </c>
      <c r="J315" s="51"/>
      <c r="K315" s="51"/>
      <c r="L315" s="51"/>
      <c r="M315" s="51"/>
    </row>
    <row r="316" spans="1:13" ht="35.25" customHeight="1" outlineLevel="1">
      <c r="A316" s="382">
        <v>30</v>
      </c>
      <c r="B316" s="559">
        <v>41673</v>
      </c>
      <c r="C316" s="241" t="s">
        <v>603</v>
      </c>
      <c r="D316" s="614" t="s">
        <v>284</v>
      </c>
      <c r="E316" s="615">
        <v>126.7</v>
      </c>
      <c r="F316" s="242"/>
      <c r="G316" s="561" t="s">
        <v>430</v>
      </c>
      <c r="H316" s="242" t="s">
        <v>294</v>
      </c>
      <c r="I316" s="561" t="s">
        <v>445</v>
      </c>
      <c r="J316" s="51"/>
      <c r="K316" s="51"/>
      <c r="L316" s="51"/>
      <c r="M316" s="51"/>
    </row>
    <row r="317" spans="1:13" ht="35.25" customHeight="1" outlineLevel="1">
      <c r="A317" s="382">
        <v>31</v>
      </c>
      <c r="B317" s="559">
        <v>41673</v>
      </c>
      <c r="C317" s="599" t="s">
        <v>604</v>
      </c>
      <c r="D317" s="602" t="s">
        <v>284</v>
      </c>
      <c r="E317" s="615">
        <v>4.12</v>
      </c>
      <c r="F317" s="242"/>
      <c r="G317" s="561" t="s">
        <v>430</v>
      </c>
      <c r="H317" s="242" t="s">
        <v>294</v>
      </c>
      <c r="I317" s="561" t="s">
        <v>445</v>
      </c>
      <c r="J317" s="51"/>
      <c r="K317" s="51"/>
      <c r="L317" s="51"/>
      <c r="M317" s="51"/>
    </row>
    <row r="318" spans="1:13" ht="35.25" customHeight="1" outlineLevel="1">
      <c r="A318" s="382">
        <v>46</v>
      </c>
      <c r="B318" s="559">
        <v>41690</v>
      </c>
      <c r="C318" s="241" t="s">
        <v>450</v>
      </c>
      <c r="D318" s="403" t="s">
        <v>451</v>
      </c>
      <c r="E318" s="370">
        <v>1037.88</v>
      </c>
      <c r="F318" s="242"/>
      <c r="G318" s="561" t="s">
        <v>430</v>
      </c>
      <c r="H318" s="242" t="s">
        <v>294</v>
      </c>
      <c r="I318" s="561" t="s">
        <v>362</v>
      </c>
      <c r="J318" s="51"/>
      <c r="K318" s="51"/>
      <c r="L318" s="51"/>
      <c r="M318" s="51"/>
    </row>
    <row r="319" spans="1:13" ht="35.25" customHeight="1" outlineLevel="1">
      <c r="A319" s="382">
        <v>57</v>
      </c>
      <c r="B319" s="559">
        <v>41708</v>
      </c>
      <c r="C319" s="241" t="s">
        <v>605</v>
      </c>
      <c r="D319" s="242" t="s">
        <v>333</v>
      </c>
      <c r="E319" s="375">
        <v>1020.73</v>
      </c>
      <c r="F319" s="154"/>
      <c r="G319" s="561" t="s">
        <v>430</v>
      </c>
      <c r="H319" s="242" t="s">
        <v>294</v>
      </c>
      <c r="I319" s="561" t="s">
        <v>431</v>
      </c>
      <c r="J319" s="51"/>
      <c r="K319" s="51"/>
      <c r="L319" s="51"/>
      <c r="M319" s="51"/>
    </row>
    <row r="320" spans="1:13" ht="35.25" customHeight="1" outlineLevel="1">
      <c r="A320" s="382">
        <v>58</v>
      </c>
      <c r="B320" s="559">
        <v>41708</v>
      </c>
      <c r="C320" s="241" t="s">
        <v>606</v>
      </c>
      <c r="D320" s="242" t="s">
        <v>333</v>
      </c>
      <c r="E320" s="375">
        <v>0.8</v>
      </c>
      <c r="F320" s="242"/>
      <c r="G320" s="561" t="s">
        <v>430</v>
      </c>
      <c r="H320" s="242" t="s">
        <v>294</v>
      </c>
      <c r="I320" s="561" t="s">
        <v>431</v>
      </c>
      <c r="J320" s="51"/>
      <c r="K320" s="51"/>
      <c r="L320" s="51"/>
      <c r="M320" s="51"/>
    </row>
    <row r="321" spans="1:13" ht="35.25" customHeight="1" outlineLevel="1">
      <c r="A321" s="382">
        <v>59</v>
      </c>
      <c r="B321" s="559">
        <v>41708</v>
      </c>
      <c r="C321" s="241" t="s">
        <v>607</v>
      </c>
      <c r="D321" s="403" t="s">
        <v>284</v>
      </c>
      <c r="E321" s="615">
        <v>195.42</v>
      </c>
      <c r="F321" s="242"/>
      <c r="G321" s="561" t="s">
        <v>430</v>
      </c>
      <c r="H321" s="242" t="s">
        <v>294</v>
      </c>
      <c r="I321" s="561" t="s">
        <v>431</v>
      </c>
      <c r="J321" s="51"/>
      <c r="K321" s="51"/>
      <c r="L321" s="51"/>
      <c r="M321" s="51"/>
    </row>
    <row r="322" spans="1:13" ht="35.25" customHeight="1" outlineLevel="1">
      <c r="A322" s="382">
        <v>60</v>
      </c>
      <c r="B322" s="559">
        <v>41708</v>
      </c>
      <c r="C322" s="241" t="s">
        <v>608</v>
      </c>
      <c r="D322" s="403" t="s">
        <v>284</v>
      </c>
      <c r="E322" s="615">
        <v>8.26</v>
      </c>
      <c r="F322" s="242"/>
      <c r="G322" s="561" t="s">
        <v>430</v>
      </c>
      <c r="H322" s="242" t="s">
        <v>294</v>
      </c>
      <c r="I322" s="561" t="s">
        <v>431</v>
      </c>
      <c r="J322" s="51"/>
      <c r="K322" s="51"/>
      <c r="L322" s="51"/>
      <c r="M322" s="51"/>
    </row>
    <row r="323" spans="1:13" ht="35.25" customHeight="1" outlineLevel="1">
      <c r="A323" s="382">
        <v>91</v>
      </c>
      <c r="B323" s="559">
        <v>41733</v>
      </c>
      <c r="C323" s="241" t="s">
        <v>613</v>
      </c>
      <c r="D323" s="242" t="s">
        <v>364</v>
      </c>
      <c r="E323" s="243">
        <v>707.68</v>
      </c>
      <c r="F323" s="242"/>
      <c r="G323" s="561" t="s">
        <v>430</v>
      </c>
      <c r="H323" s="242" t="s">
        <v>294</v>
      </c>
      <c r="I323" s="561" t="s">
        <v>445</v>
      </c>
      <c r="J323" s="51"/>
      <c r="K323" s="51"/>
      <c r="L323" s="51"/>
      <c r="M323" s="51"/>
    </row>
    <row r="324" spans="1:13" ht="35.25" customHeight="1" outlineLevel="1">
      <c r="A324" s="382">
        <v>92</v>
      </c>
      <c r="B324" s="559">
        <v>41733</v>
      </c>
      <c r="C324" s="241" t="s">
        <v>614</v>
      </c>
      <c r="D324" s="242" t="s">
        <v>284</v>
      </c>
      <c r="E324" s="243">
        <v>135.52</v>
      </c>
      <c r="F324" s="242"/>
      <c r="G324" s="561" t="s">
        <v>430</v>
      </c>
      <c r="H324" s="242" t="s">
        <v>294</v>
      </c>
      <c r="I324" s="561" t="s">
        <v>445</v>
      </c>
      <c r="J324" s="51"/>
      <c r="K324" s="51"/>
      <c r="L324" s="51"/>
      <c r="M324" s="51"/>
    </row>
    <row r="325" spans="1:13" ht="35.25" customHeight="1" outlineLevel="1">
      <c r="A325" s="382">
        <v>93</v>
      </c>
      <c r="B325" s="559">
        <v>41733</v>
      </c>
      <c r="C325" s="241" t="s">
        <v>615</v>
      </c>
      <c r="D325" s="242" t="s">
        <v>284</v>
      </c>
      <c r="E325" s="243">
        <v>8.26</v>
      </c>
      <c r="F325" s="242"/>
      <c r="G325" s="561" t="s">
        <v>430</v>
      </c>
      <c r="H325" s="242" t="s">
        <v>294</v>
      </c>
      <c r="I325" s="561" t="s">
        <v>445</v>
      </c>
      <c r="J325" s="51"/>
      <c r="K325" s="51"/>
      <c r="L325" s="51"/>
      <c r="M325" s="51"/>
    </row>
    <row r="326" spans="1:13" ht="35.25" customHeight="1" outlineLevel="1" thickBot="1">
      <c r="A326" s="382">
        <v>111</v>
      </c>
      <c r="B326" s="559">
        <v>41764</v>
      </c>
      <c r="C326" s="241" t="s">
        <v>493</v>
      </c>
      <c r="D326" s="403" t="s">
        <v>451</v>
      </c>
      <c r="E326" s="243">
        <v>304.52</v>
      </c>
      <c r="F326" s="242"/>
      <c r="G326" s="561" t="s">
        <v>430</v>
      </c>
      <c r="H326" s="242" t="s">
        <v>294</v>
      </c>
      <c r="I326" s="649" t="s">
        <v>431</v>
      </c>
      <c r="J326" s="51"/>
      <c r="K326" s="51"/>
      <c r="L326" s="51"/>
      <c r="M326" s="51"/>
    </row>
    <row r="327" spans="1:13" ht="35.25" customHeight="1" outlineLevel="1" thickTop="1">
      <c r="A327" s="382">
        <v>112</v>
      </c>
      <c r="B327" s="559">
        <v>41766</v>
      </c>
      <c r="C327" s="241" t="s">
        <v>627</v>
      </c>
      <c r="D327" s="242" t="s">
        <v>333</v>
      </c>
      <c r="E327" s="243">
        <v>1022.89</v>
      </c>
      <c r="F327" s="357"/>
      <c r="G327" s="354" t="s">
        <v>430</v>
      </c>
      <c r="H327" s="242" t="s">
        <v>294</v>
      </c>
      <c r="I327" s="561" t="s">
        <v>494</v>
      </c>
      <c r="J327" s="51"/>
      <c r="K327" s="51"/>
      <c r="L327" s="51"/>
      <c r="M327" s="51"/>
    </row>
    <row r="328" spans="1:13" ht="35.25" customHeight="1" outlineLevel="1">
      <c r="A328" s="382">
        <v>113</v>
      </c>
      <c r="B328" s="559">
        <v>41766</v>
      </c>
      <c r="C328" s="241" t="s">
        <v>628</v>
      </c>
      <c r="D328" s="242" t="s">
        <v>333</v>
      </c>
      <c r="E328" s="243">
        <v>0.45</v>
      </c>
      <c r="F328" s="154"/>
      <c r="G328" s="340" t="s">
        <v>430</v>
      </c>
      <c r="H328" s="154" t="s">
        <v>294</v>
      </c>
      <c r="I328" s="359" t="s">
        <v>494</v>
      </c>
      <c r="J328" s="51"/>
      <c r="K328" s="51"/>
      <c r="L328" s="51"/>
      <c r="M328" s="51"/>
    </row>
    <row r="329" spans="1:13" ht="35.25" customHeight="1" outlineLevel="1">
      <c r="A329" s="382">
        <v>114</v>
      </c>
      <c r="B329" s="559">
        <v>41766</v>
      </c>
      <c r="C329" s="241" t="s">
        <v>629</v>
      </c>
      <c r="D329" s="403" t="s">
        <v>284</v>
      </c>
      <c r="E329" s="243">
        <v>195.8</v>
      </c>
      <c r="F329" s="242"/>
      <c r="G329" s="561" t="s">
        <v>430</v>
      </c>
      <c r="H329" s="242" t="s">
        <v>294</v>
      </c>
      <c r="I329" s="561" t="s">
        <v>494</v>
      </c>
      <c r="J329" s="51"/>
      <c r="K329" s="51"/>
      <c r="L329" s="51"/>
      <c r="M329" s="51"/>
    </row>
    <row r="330" spans="1:13" ht="35.25" customHeight="1" outlineLevel="1">
      <c r="A330" s="382">
        <v>115</v>
      </c>
      <c r="B330" s="559">
        <v>41766</v>
      </c>
      <c r="C330" s="241" t="s">
        <v>630</v>
      </c>
      <c r="D330" s="403" t="s">
        <v>284</v>
      </c>
      <c r="E330" s="243">
        <v>8.26</v>
      </c>
      <c r="F330" s="242"/>
      <c r="G330" s="561" t="s">
        <v>430</v>
      </c>
      <c r="H330" s="242" t="s">
        <v>294</v>
      </c>
      <c r="I330" s="561" t="s">
        <v>494</v>
      </c>
      <c r="J330" s="51"/>
      <c r="K330" s="51"/>
      <c r="L330" s="51"/>
      <c r="M330" s="51"/>
    </row>
    <row r="331" spans="1:13" ht="35.25" customHeight="1" outlineLevel="1">
      <c r="A331" s="382">
        <v>211</v>
      </c>
      <c r="B331" s="559">
        <v>41827</v>
      </c>
      <c r="C331" s="241" t="s">
        <v>635</v>
      </c>
      <c r="D331" s="242" t="s">
        <v>333</v>
      </c>
      <c r="E331" s="243">
        <v>1025.06</v>
      </c>
      <c r="F331" s="579"/>
      <c r="G331" s="561" t="s">
        <v>545</v>
      </c>
      <c r="H331" s="242" t="s">
        <v>294</v>
      </c>
      <c r="I331" s="561" t="s">
        <v>494</v>
      </c>
      <c r="J331" s="51"/>
      <c r="K331" s="51"/>
      <c r="L331" s="51"/>
      <c r="M331" s="51"/>
    </row>
    <row r="332" spans="1:13" ht="35.25" customHeight="1" outlineLevel="1">
      <c r="A332" s="382">
        <v>212</v>
      </c>
      <c r="B332" s="559">
        <v>41827</v>
      </c>
      <c r="C332" s="241" t="s">
        <v>636</v>
      </c>
      <c r="D332" s="242" t="s">
        <v>333</v>
      </c>
      <c r="E332" s="243">
        <v>0.03</v>
      </c>
      <c r="F332" s="579"/>
      <c r="G332" s="561" t="s">
        <v>545</v>
      </c>
      <c r="H332" s="242" t="s">
        <v>294</v>
      </c>
      <c r="I332" s="561" t="s">
        <v>494</v>
      </c>
      <c r="J332" s="51"/>
      <c r="K332" s="51"/>
      <c r="L332" s="51"/>
      <c r="M332" s="51"/>
    </row>
    <row r="333" spans="1:13" ht="35.25" customHeight="1" outlineLevel="1">
      <c r="A333" s="382">
        <v>213</v>
      </c>
      <c r="B333" s="559">
        <v>41827</v>
      </c>
      <c r="C333" s="241" t="s">
        <v>637</v>
      </c>
      <c r="D333" s="242" t="s">
        <v>284</v>
      </c>
      <c r="E333" s="243">
        <v>196.18</v>
      </c>
      <c r="F333" s="338"/>
      <c r="G333" s="561" t="s">
        <v>545</v>
      </c>
      <c r="H333" s="242" t="s">
        <v>294</v>
      </c>
      <c r="I333" s="561" t="s">
        <v>494</v>
      </c>
      <c r="J333" s="51"/>
      <c r="K333" s="51"/>
      <c r="L333" s="51"/>
      <c r="M333" s="51"/>
    </row>
    <row r="334" spans="1:13" ht="35.25" customHeight="1" outlineLevel="1">
      <c r="A334" s="382">
        <v>214</v>
      </c>
      <c r="B334" s="559">
        <v>41827</v>
      </c>
      <c r="C334" s="241" t="s">
        <v>638</v>
      </c>
      <c r="D334" s="242" t="s">
        <v>284</v>
      </c>
      <c r="E334" s="243">
        <v>8.26</v>
      </c>
      <c r="F334" s="338"/>
      <c r="G334" s="561" t="s">
        <v>545</v>
      </c>
      <c r="H334" s="242" t="s">
        <v>294</v>
      </c>
      <c r="I334" s="561" t="s">
        <v>494</v>
      </c>
      <c r="J334" s="51"/>
      <c r="K334" s="51"/>
      <c r="L334" s="51"/>
      <c r="M334" s="51"/>
    </row>
    <row r="335" spans="1:13" ht="35.25" customHeight="1" outlineLevel="1">
      <c r="A335" s="382">
        <v>215</v>
      </c>
      <c r="B335" s="559">
        <v>41827</v>
      </c>
      <c r="C335" s="241" t="s">
        <v>635</v>
      </c>
      <c r="D335" s="242" t="s">
        <v>599</v>
      </c>
      <c r="E335" s="243">
        <v>456.17</v>
      </c>
      <c r="F335" s="579"/>
      <c r="G335" s="561" t="s">
        <v>545</v>
      </c>
      <c r="H335" s="242" t="s">
        <v>294</v>
      </c>
      <c r="I335" s="561" t="s">
        <v>693</v>
      </c>
      <c r="J335" s="51"/>
      <c r="K335" s="51"/>
      <c r="L335" s="51"/>
      <c r="M335" s="51"/>
    </row>
    <row r="336" spans="1:13" ht="35.25" customHeight="1" outlineLevel="1">
      <c r="A336" s="382">
        <v>216</v>
      </c>
      <c r="B336" s="559">
        <v>41827</v>
      </c>
      <c r="C336" s="241" t="s">
        <v>636</v>
      </c>
      <c r="D336" s="242" t="s">
        <v>599</v>
      </c>
      <c r="E336" s="243">
        <v>0.61</v>
      </c>
      <c r="F336" s="579"/>
      <c r="G336" s="561" t="s">
        <v>545</v>
      </c>
      <c r="H336" s="242" t="s">
        <v>294</v>
      </c>
      <c r="I336" s="561" t="s">
        <v>693</v>
      </c>
      <c r="J336" s="51"/>
      <c r="K336" s="51"/>
      <c r="L336" s="51"/>
      <c r="M336" s="51"/>
    </row>
    <row r="337" spans="1:13" ht="35.25" customHeight="1" outlineLevel="1">
      <c r="A337" s="382">
        <v>217</v>
      </c>
      <c r="B337" s="559">
        <v>41827</v>
      </c>
      <c r="C337" s="241" t="s">
        <v>643</v>
      </c>
      <c r="D337" s="242" t="s">
        <v>284</v>
      </c>
      <c r="E337" s="243">
        <v>87.28</v>
      </c>
      <c r="F337" s="338"/>
      <c r="G337" s="561" t="s">
        <v>545</v>
      </c>
      <c r="H337" s="242" t="s">
        <v>294</v>
      </c>
      <c r="I337" s="561" t="s">
        <v>693</v>
      </c>
      <c r="J337" s="51"/>
      <c r="K337" s="51"/>
      <c r="L337" s="51"/>
      <c r="M337" s="51"/>
    </row>
    <row r="338" spans="1:13" ht="35.25" customHeight="1" outlineLevel="1">
      <c r="A338" s="382">
        <v>218</v>
      </c>
      <c r="B338" s="559">
        <v>41827</v>
      </c>
      <c r="C338" s="241" t="s">
        <v>644</v>
      </c>
      <c r="D338" s="242" t="s">
        <v>284</v>
      </c>
      <c r="E338" s="243">
        <v>24.76</v>
      </c>
      <c r="F338" s="158"/>
      <c r="G338" s="561" t="s">
        <v>545</v>
      </c>
      <c r="H338" s="242" t="s">
        <v>294</v>
      </c>
      <c r="I338" s="561" t="s">
        <v>693</v>
      </c>
      <c r="J338" s="51"/>
      <c r="K338" s="51"/>
      <c r="L338" s="51"/>
      <c r="M338" s="51"/>
    </row>
    <row r="339" spans="1:13" ht="35.25" customHeight="1" outlineLevel="1">
      <c r="A339" s="382">
        <v>234</v>
      </c>
      <c r="B339" s="559">
        <v>41883</v>
      </c>
      <c r="C339" s="241" t="s">
        <v>522</v>
      </c>
      <c r="D339" s="242" t="s">
        <v>451</v>
      </c>
      <c r="E339" s="243">
        <v>329.89</v>
      </c>
      <c r="F339" s="242"/>
      <c r="G339" s="561" t="s">
        <v>430</v>
      </c>
      <c r="H339" s="242" t="s">
        <v>294</v>
      </c>
      <c r="I339" s="561" t="s">
        <v>494</v>
      </c>
      <c r="J339" s="51"/>
      <c r="K339" s="51"/>
      <c r="L339" s="51"/>
      <c r="M339" s="51"/>
    </row>
    <row r="340" spans="1:13" ht="35.25" customHeight="1" outlineLevel="1">
      <c r="A340" s="382">
        <v>235</v>
      </c>
      <c r="B340" s="559">
        <v>41883</v>
      </c>
      <c r="C340" s="152" t="s">
        <v>645</v>
      </c>
      <c r="D340" s="242" t="s">
        <v>333</v>
      </c>
      <c r="E340" s="243">
        <v>1253.55</v>
      </c>
      <c r="F340" s="242"/>
      <c r="G340" s="561" t="s">
        <v>430</v>
      </c>
      <c r="H340" s="242" t="s">
        <v>294</v>
      </c>
      <c r="I340" s="561" t="s">
        <v>431</v>
      </c>
      <c r="J340" s="51"/>
      <c r="K340" s="51"/>
      <c r="L340" s="51"/>
      <c r="M340" s="51"/>
    </row>
    <row r="341" spans="1:13" ht="35.25" customHeight="1" outlineLevel="1">
      <c r="A341" s="382">
        <v>236</v>
      </c>
      <c r="B341" s="559">
        <v>41883</v>
      </c>
      <c r="C341" s="152" t="s">
        <v>646</v>
      </c>
      <c r="D341" s="242" t="s">
        <v>333</v>
      </c>
      <c r="E341" s="243">
        <v>0.59</v>
      </c>
      <c r="F341" s="242"/>
      <c r="G341" s="561" t="s">
        <v>430</v>
      </c>
      <c r="H341" s="242" t="s">
        <v>294</v>
      </c>
      <c r="I341" s="561" t="s">
        <v>431</v>
      </c>
      <c r="J341" s="51"/>
      <c r="K341" s="51"/>
      <c r="L341" s="51"/>
      <c r="M341" s="51"/>
    </row>
    <row r="342" spans="1:13" ht="35.25" customHeight="1" outlineLevel="1">
      <c r="A342" s="382">
        <v>237</v>
      </c>
      <c r="B342" s="559">
        <v>41883</v>
      </c>
      <c r="C342" s="244" t="s">
        <v>647</v>
      </c>
      <c r="D342" s="403" t="s">
        <v>284</v>
      </c>
      <c r="E342" s="243">
        <v>196.76</v>
      </c>
      <c r="F342" s="242"/>
      <c r="G342" s="561" t="s">
        <v>430</v>
      </c>
      <c r="H342" s="242" t="s">
        <v>294</v>
      </c>
      <c r="I342" s="561" t="s">
        <v>431</v>
      </c>
      <c r="J342" s="51"/>
      <c r="K342" s="51"/>
      <c r="L342" s="51"/>
      <c r="M342" s="51"/>
    </row>
    <row r="343" spans="1:13" ht="35.25" customHeight="1" outlineLevel="1">
      <c r="A343" s="382">
        <v>238</v>
      </c>
      <c r="B343" s="559">
        <v>41883</v>
      </c>
      <c r="C343" s="241" t="s">
        <v>648</v>
      </c>
      <c r="D343" s="403" t="s">
        <v>284</v>
      </c>
      <c r="E343" s="243">
        <v>8.34</v>
      </c>
      <c r="F343" s="242"/>
      <c r="G343" s="561" t="s">
        <v>430</v>
      </c>
      <c r="H343" s="242" t="s">
        <v>294</v>
      </c>
      <c r="I343" s="561" t="s">
        <v>431</v>
      </c>
      <c r="J343" s="51"/>
      <c r="K343" s="51"/>
      <c r="L343" s="51"/>
      <c r="M343" s="51"/>
    </row>
    <row r="344" spans="1:13" ht="35.25" customHeight="1" outlineLevel="1">
      <c r="A344" s="382">
        <v>282</v>
      </c>
      <c r="B344" s="559">
        <v>41918</v>
      </c>
      <c r="C344" s="152" t="s">
        <v>986</v>
      </c>
      <c r="D344" s="403" t="s">
        <v>599</v>
      </c>
      <c r="E344" s="155">
        <v>200</v>
      </c>
      <c r="F344" s="560"/>
      <c r="G344" s="561" t="s">
        <v>545</v>
      </c>
      <c r="H344" s="242" t="s">
        <v>294</v>
      </c>
      <c r="I344" s="561" t="s">
        <v>693</v>
      </c>
      <c r="J344" s="51"/>
      <c r="K344" s="51"/>
      <c r="L344" s="51"/>
      <c r="M344" s="51"/>
    </row>
    <row r="345" spans="1:13" ht="35.25" customHeight="1" outlineLevel="1">
      <c r="A345" s="382">
        <v>291</v>
      </c>
      <c r="B345" s="559">
        <v>41946</v>
      </c>
      <c r="C345" s="244" t="s">
        <v>999</v>
      </c>
      <c r="D345" s="403" t="s">
        <v>388</v>
      </c>
      <c r="E345" s="155">
        <v>3974.83</v>
      </c>
      <c r="F345" s="242"/>
      <c r="G345" s="561" t="s">
        <v>430</v>
      </c>
      <c r="H345" s="242" t="s">
        <v>294</v>
      </c>
      <c r="I345" s="561" t="s">
        <v>431</v>
      </c>
      <c r="J345" s="51"/>
      <c r="K345" s="51"/>
      <c r="L345" s="51"/>
      <c r="M345" s="51"/>
    </row>
    <row r="346" spans="1:13" ht="35.25" customHeight="1" outlineLevel="1">
      <c r="A346" s="382">
        <v>294</v>
      </c>
      <c r="B346" s="559">
        <v>41946</v>
      </c>
      <c r="C346" s="241" t="s">
        <v>1007</v>
      </c>
      <c r="D346" s="403" t="s">
        <v>388</v>
      </c>
      <c r="E346" s="243">
        <v>0.33</v>
      </c>
      <c r="F346" s="560"/>
      <c r="G346" s="561" t="s">
        <v>430</v>
      </c>
      <c r="H346" s="242" t="s">
        <v>294</v>
      </c>
      <c r="I346" s="561" t="s">
        <v>431</v>
      </c>
      <c r="J346" s="51"/>
      <c r="K346" s="51"/>
      <c r="L346" s="51"/>
      <c r="M346" s="51"/>
    </row>
    <row r="347" spans="1:13" ht="35.25" customHeight="1" outlineLevel="1">
      <c r="A347" s="382">
        <v>295</v>
      </c>
      <c r="B347" s="559">
        <v>41946</v>
      </c>
      <c r="C347" s="241" t="s">
        <v>1008</v>
      </c>
      <c r="D347" s="403" t="s">
        <v>284</v>
      </c>
      <c r="E347" s="243">
        <v>760.82</v>
      </c>
      <c r="F347" s="154"/>
      <c r="G347" s="561" t="s">
        <v>430</v>
      </c>
      <c r="H347" s="242" t="s">
        <v>294</v>
      </c>
      <c r="I347" s="561" t="s">
        <v>431</v>
      </c>
      <c r="J347" s="51"/>
      <c r="K347" s="51"/>
      <c r="L347" s="51"/>
      <c r="M347" s="51"/>
    </row>
    <row r="348" spans="1:13" ht="35.25" customHeight="1" outlineLevel="1">
      <c r="A348" s="382">
        <v>296</v>
      </c>
      <c r="B348" s="559">
        <v>41946</v>
      </c>
      <c r="C348" s="241" t="s">
        <v>1009</v>
      </c>
      <c r="D348" s="403" t="s">
        <v>284</v>
      </c>
      <c r="E348" s="243">
        <v>12.32</v>
      </c>
      <c r="F348" s="154"/>
      <c r="G348" s="561" t="s">
        <v>430</v>
      </c>
      <c r="H348" s="242" t="s">
        <v>294</v>
      </c>
      <c r="I348" s="561" t="s">
        <v>431</v>
      </c>
      <c r="J348" s="51"/>
      <c r="K348" s="51"/>
      <c r="L348" s="51"/>
      <c r="M348" s="51"/>
    </row>
    <row r="349" spans="1:13" ht="35.25" customHeight="1" outlineLevel="1">
      <c r="A349" s="382">
        <v>303</v>
      </c>
      <c r="B349" s="559">
        <v>41953</v>
      </c>
      <c r="C349" s="241" t="s">
        <v>944</v>
      </c>
      <c r="D349" s="403" t="s">
        <v>990</v>
      </c>
      <c r="E349" s="243">
        <v>507.52</v>
      </c>
      <c r="F349" s="640"/>
      <c r="G349" s="622" t="s">
        <v>430</v>
      </c>
      <c r="H349" s="242" t="s">
        <v>294</v>
      </c>
      <c r="I349" s="561" t="s">
        <v>494</v>
      </c>
      <c r="J349" s="51"/>
      <c r="K349" s="51"/>
      <c r="L349" s="51"/>
      <c r="M349" s="51"/>
    </row>
    <row r="350" spans="1:13" ht="35.25" customHeight="1" outlineLevel="1">
      <c r="A350" s="382">
        <v>319</v>
      </c>
      <c r="B350" s="587">
        <v>41992</v>
      </c>
      <c r="C350" s="588" t="s">
        <v>957</v>
      </c>
      <c r="D350" s="247" t="s">
        <v>333</v>
      </c>
      <c r="E350" s="589">
        <v>3588</v>
      </c>
      <c r="F350" s="247"/>
      <c r="G350" s="590" t="s">
        <v>430</v>
      </c>
      <c r="H350" s="247" t="s">
        <v>294</v>
      </c>
      <c r="I350" s="590" t="s">
        <v>431</v>
      </c>
      <c r="J350" s="51"/>
      <c r="K350" s="51"/>
      <c r="L350" s="51"/>
      <c r="M350" s="51"/>
    </row>
    <row r="351" spans="1:13" ht="35.25" customHeight="1" outlineLevel="1">
      <c r="A351" s="382">
        <v>325</v>
      </c>
      <c r="B351" s="559">
        <v>42002</v>
      </c>
      <c r="C351" s="241" t="s">
        <v>962</v>
      </c>
      <c r="D351" s="403" t="s">
        <v>333</v>
      </c>
      <c r="E351" s="243">
        <v>4068.71</v>
      </c>
      <c r="F351" s="560"/>
      <c r="G351" s="561" t="s">
        <v>430</v>
      </c>
      <c r="H351" s="242" t="s">
        <v>294</v>
      </c>
      <c r="I351" s="561" t="s">
        <v>431</v>
      </c>
      <c r="J351" s="51"/>
      <c r="K351" s="51"/>
      <c r="L351" s="51"/>
      <c r="M351" s="51"/>
    </row>
    <row r="352" spans="1:13" ht="35.25" customHeight="1" outlineLevel="1">
      <c r="A352" s="382">
        <v>327</v>
      </c>
      <c r="B352" s="559">
        <v>42002</v>
      </c>
      <c r="C352" s="241" t="s">
        <v>1017</v>
      </c>
      <c r="D352" s="403" t="s">
        <v>284</v>
      </c>
      <c r="E352" s="243">
        <v>816.9</v>
      </c>
      <c r="F352" s="560"/>
      <c r="G352" s="561" t="s">
        <v>430</v>
      </c>
      <c r="H352" s="242" t="s">
        <v>294</v>
      </c>
      <c r="I352" s="561" t="s">
        <v>431</v>
      </c>
      <c r="J352" s="51"/>
      <c r="K352" s="51"/>
      <c r="L352" s="51"/>
      <c r="M352" s="51"/>
    </row>
    <row r="353" spans="1:13" ht="35.25" customHeight="1" outlineLevel="1">
      <c r="A353" s="382">
        <v>328</v>
      </c>
      <c r="B353" s="559">
        <v>42002</v>
      </c>
      <c r="C353" s="241" t="s">
        <v>1018</v>
      </c>
      <c r="D353" s="403" t="s">
        <v>284</v>
      </c>
      <c r="E353" s="243">
        <v>4.34</v>
      </c>
      <c r="F353" s="560"/>
      <c r="G353" s="561" t="s">
        <v>430</v>
      </c>
      <c r="H353" s="242" t="s">
        <v>294</v>
      </c>
      <c r="I353" s="561" t="s">
        <v>431</v>
      </c>
      <c r="J353" s="51"/>
      <c r="K353" s="51"/>
      <c r="L353" s="51"/>
      <c r="M353" s="51"/>
    </row>
    <row r="354" spans="1:13" ht="35.25" customHeight="1" outlineLevel="1">
      <c r="A354" s="382">
        <v>329</v>
      </c>
      <c r="B354" s="559">
        <v>42002</v>
      </c>
      <c r="C354" s="241" t="s">
        <v>963</v>
      </c>
      <c r="D354" s="403" t="s">
        <v>599</v>
      </c>
      <c r="E354" s="243">
        <v>111.86</v>
      </c>
      <c r="F354" s="560"/>
      <c r="G354" s="561" t="s">
        <v>545</v>
      </c>
      <c r="H354" s="242" t="s">
        <v>294</v>
      </c>
      <c r="I354" s="561" t="s">
        <v>693</v>
      </c>
      <c r="J354" s="51"/>
      <c r="K354" s="51"/>
      <c r="L354" s="51"/>
      <c r="M354" s="51"/>
    </row>
    <row r="355" spans="1:13" ht="35.25" customHeight="1" outlineLevel="1">
      <c r="A355" s="382">
        <v>330</v>
      </c>
      <c r="B355" s="559">
        <v>42002</v>
      </c>
      <c r="C355" s="241" t="s">
        <v>1010</v>
      </c>
      <c r="D355" s="403" t="s">
        <v>284</v>
      </c>
      <c r="E355" s="243">
        <v>21.44</v>
      </c>
      <c r="F355" s="560"/>
      <c r="G355" s="561" t="s">
        <v>545</v>
      </c>
      <c r="H355" s="242" t="s">
        <v>294</v>
      </c>
      <c r="I355" s="561" t="s">
        <v>693</v>
      </c>
      <c r="J355" s="51"/>
      <c r="K355" s="51"/>
      <c r="L355" s="51"/>
      <c r="M355" s="51"/>
    </row>
    <row r="356" spans="1:13" ht="35.25" customHeight="1" outlineLevel="1">
      <c r="A356" s="382">
        <v>331</v>
      </c>
      <c r="B356" s="339">
        <v>42002</v>
      </c>
      <c r="C356" s="152" t="s">
        <v>1011</v>
      </c>
      <c r="D356" s="340" t="s">
        <v>284</v>
      </c>
      <c r="E356" s="155">
        <v>0.12</v>
      </c>
      <c r="F356" s="158"/>
      <c r="G356" s="340" t="s">
        <v>545</v>
      </c>
      <c r="H356" s="154" t="s">
        <v>294</v>
      </c>
      <c r="I356" s="340" t="s">
        <v>693</v>
      </c>
      <c r="J356" s="51"/>
      <c r="K356" s="51"/>
      <c r="L356" s="51"/>
      <c r="M356" s="51"/>
    </row>
    <row r="357" spans="1:13" ht="35.25" customHeight="1" outlineLevel="1">
      <c r="A357" s="641"/>
      <c r="B357" s="545"/>
      <c r="C357" s="250"/>
      <c r="D357" s="404"/>
      <c r="E357" s="248">
        <f>SUBTOTAL(9,E3:E356)</f>
        <v>366041.56000000046</v>
      </c>
      <c r="F357" s="93" t="s">
        <v>1031</v>
      </c>
      <c r="G357" s="404"/>
      <c r="H357" s="91"/>
      <c r="I357" s="404">
        <f>SUBTOTAL(9,I3:I356)</f>
        <v>0</v>
      </c>
      <c r="J357" s="51"/>
      <c r="K357" s="51"/>
      <c r="L357" s="51"/>
      <c r="M357" s="51"/>
    </row>
    <row r="358" spans="10:13" ht="35.25" customHeight="1">
      <c r="J358" s="51"/>
      <c r="K358" s="51"/>
      <c r="L358" s="51"/>
      <c r="M358" s="51"/>
    </row>
    <row r="359" spans="10:13" ht="35.25" customHeight="1">
      <c r="J359" s="51"/>
      <c r="K359" s="51"/>
      <c r="L359" s="51"/>
      <c r="M359" s="51"/>
    </row>
  </sheetData>
  <sheetProtection/>
  <mergeCells count="1">
    <mergeCell ref="A1:I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67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vitolo</dc:creator>
  <cp:keywords/>
  <dc:description/>
  <cp:lastModifiedBy>Grazia</cp:lastModifiedBy>
  <cp:lastPrinted>2015-04-10T15:45:43Z</cp:lastPrinted>
  <dcterms:created xsi:type="dcterms:W3CDTF">2001-05-22T08:00:30Z</dcterms:created>
  <dcterms:modified xsi:type="dcterms:W3CDTF">2015-08-19T13:30:03Z</dcterms:modified>
  <cp:category/>
  <cp:version/>
  <cp:contentType/>
  <cp:contentStatus/>
</cp:coreProperties>
</file>